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16BCE1F-0483-451B-B60A-30E09FB492B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Магазин 15 - Прайс-лист" sheetId="5" r:id="rId1"/>
    <sheet name="Магазин 15 - Переходы" sheetId="6" r:id="rId2"/>
    <sheet name="Магазин 15 - Продления" sheetId="7" r:id="rId3"/>
  </sheets>
  <definedNames>
    <definedName name="Z_476E70A8_CF62_4C43_957B_247FFA2CB273_.wvu.FilterData" localSheetId="0" hidden="1">'Магазин 15 - Прайс-лист'!$A$1:$F$945</definedName>
    <definedName name="Z_56143D0F_82A8_48AB_AEA8_D4757A46D988_.wvu.FilterData" localSheetId="0" hidden="1">'Магазин 15 - Прайс-лист'!$A$1:$F$945</definedName>
  </definedNames>
  <calcPr calcId="191029"/>
  <customWorkbookViews>
    <customWorkbookView name="Фильтр 4" guid="{E6833ADA-098B-49D2-9009-1D1E49DB29F4}" maximized="1" windowWidth="0" windowHeight="0" activeSheetId="0"/>
    <customWorkbookView name="Фильтр 3" guid="{8DBC946B-46A5-4DF8-A8E4-EB1D0A238519}" maximized="1" windowWidth="0" windowHeight="0" activeSheetId="0"/>
    <customWorkbookView name="Фильтр 2" guid="{56143D0F-82A8-48AB-AEA8-D4757A46D988}" maximized="1" windowWidth="0" windowHeight="0" activeSheetId="0"/>
    <customWorkbookView name="Фильтр 1" guid="{476E70A8-CF62-4C43-957B-247FFA2CB27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8" i="7" l="1"/>
  <c r="E758" i="7"/>
  <c r="D758" i="7"/>
  <c r="C758" i="7"/>
  <c r="B758" i="7"/>
  <c r="A758" i="7"/>
  <c r="F757" i="7"/>
  <c r="E757" i="7"/>
  <c r="D757" i="7"/>
  <c r="C757" i="7"/>
  <c r="B757" i="7"/>
  <c r="A757" i="7"/>
  <c r="F756" i="7"/>
  <c r="E756" i="7"/>
  <c r="D756" i="7"/>
  <c r="C756" i="7"/>
  <c r="B756" i="7"/>
  <c r="A756" i="7"/>
  <c r="F755" i="7"/>
  <c r="E755" i="7"/>
  <c r="D755" i="7"/>
  <c r="C755" i="7"/>
  <c r="B755" i="7"/>
  <c r="A755" i="7"/>
  <c r="F754" i="7"/>
  <c r="E754" i="7"/>
  <c r="D754" i="7"/>
  <c r="C754" i="7"/>
  <c r="B754" i="7"/>
  <c r="A754" i="7"/>
  <c r="F753" i="7"/>
  <c r="E753" i="7"/>
  <c r="D753" i="7"/>
  <c r="C753" i="7"/>
  <c r="B753" i="7"/>
  <c r="A753" i="7"/>
  <c r="F752" i="7"/>
  <c r="E752" i="7"/>
  <c r="D752" i="7"/>
  <c r="C752" i="7"/>
  <c r="B752" i="7"/>
  <c r="A752" i="7"/>
  <c r="F751" i="7"/>
  <c r="E751" i="7"/>
  <c r="D751" i="7"/>
  <c r="C751" i="7"/>
  <c r="B751" i="7"/>
  <c r="A751" i="7"/>
  <c r="F750" i="7"/>
  <c r="E750" i="7"/>
  <c r="D750" i="7"/>
  <c r="C750" i="7"/>
  <c r="B750" i="7"/>
  <c r="A750" i="7"/>
  <c r="F749" i="7"/>
  <c r="E749" i="7"/>
  <c r="D749" i="7"/>
  <c r="C749" i="7"/>
  <c r="B749" i="7"/>
  <c r="A749" i="7"/>
  <c r="F748" i="7"/>
  <c r="E748" i="7"/>
  <c r="D748" i="7"/>
  <c r="C748" i="7"/>
  <c r="B748" i="7"/>
  <c r="A748" i="7"/>
  <c r="F747" i="7"/>
  <c r="E747" i="7"/>
  <c r="D747" i="7"/>
  <c r="C747" i="7"/>
  <c r="B747" i="7"/>
  <c r="A747" i="7"/>
  <c r="F746" i="7"/>
  <c r="E746" i="7"/>
  <c r="D746" i="7"/>
  <c r="C746" i="7"/>
  <c r="B746" i="7"/>
  <c r="A746" i="7"/>
  <c r="F745" i="7"/>
  <c r="E745" i="7"/>
  <c r="D745" i="7"/>
  <c r="C745" i="7"/>
  <c r="B745" i="7"/>
  <c r="A745" i="7"/>
  <c r="F744" i="7"/>
  <c r="E744" i="7"/>
  <c r="D744" i="7"/>
  <c r="C744" i="7"/>
  <c r="B744" i="7"/>
  <c r="A744" i="7"/>
  <c r="F743" i="7"/>
  <c r="E743" i="7"/>
  <c r="D743" i="7"/>
  <c r="C743" i="7"/>
  <c r="B743" i="7"/>
  <c r="A743" i="7"/>
  <c r="F742" i="7"/>
  <c r="E742" i="7"/>
  <c r="D742" i="7"/>
  <c r="C742" i="7"/>
  <c r="B742" i="7"/>
  <c r="A742" i="7"/>
  <c r="F741" i="7"/>
  <c r="E741" i="7"/>
  <c r="D741" i="7"/>
  <c r="C741" i="7"/>
  <c r="B741" i="7"/>
  <c r="A741" i="7"/>
  <c r="F740" i="7"/>
  <c r="E740" i="7"/>
  <c r="D740" i="7"/>
  <c r="C740" i="7"/>
  <c r="B740" i="7"/>
  <c r="A740" i="7"/>
  <c r="F739" i="7"/>
  <c r="E739" i="7"/>
  <c r="D739" i="7"/>
  <c r="C739" i="7"/>
  <c r="B739" i="7"/>
  <c r="A739" i="7"/>
  <c r="F738" i="7"/>
  <c r="E738" i="7"/>
  <c r="D738" i="7"/>
  <c r="C738" i="7"/>
  <c r="B738" i="7"/>
  <c r="A738" i="7"/>
  <c r="F737" i="7"/>
  <c r="E737" i="7"/>
  <c r="D737" i="7"/>
  <c r="C737" i="7"/>
  <c r="B737" i="7"/>
  <c r="A737" i="7"/>
  <c r="F736" i="7"/>
  <c r="E736" i="7"/>
  <c r="D736" i="7"/>
  <c r="C736" i="7"/>
  <c r="B736" i="7"/>
  <c r="A736" i="7"/>
  <c r="F735" i="7"/>
  <c r="E735" i="7"/>
  <c r="D735" i="7"/>
  <c r="C735" i="7"/>
  <c r="B735" i="7"/>
  <c r="A735" i="7"/>
  <c r="F734" i="7"/>
  <c r="E734" i="7"/>
  <c r="D734" i="7"/>
  <c r="C734" i="7"/>
  <c r="B734" i="7"/>
  <c r="A734" i="7"/>
  <c r="F733" i="7"/>
  <c r="E733" i="7"/>
  <c r="D733" i="7"/>
  <c r="C733" i="7"/>
  <c r="B733" i="7"/>
  <c r="A733" i="7"/>
  <c r="F732" i="7"/>
  <c r="E732" i="7"/>
  <c r="D732" i="7"/>
  <c r="C732" i="7"/>
  <c r="B732" i="7"/>
  <c r="A732" i="7"/>
  <c r="F731" i="7"/>
  <c r="E731" i="7"/>
  <c r="D731" i="7"/>
  <c r="C731" i="7"/>
  <c r="B731" i="7"/>
  <c r="A731" i="7"/>
  <c r="F730" i="7"/>
  <c r="E730" i="7"/>
  <c r="D730" i="7"/>
  <c r="C730" i="7"/>
  <c r="B730" i="7"/>
  <c r="A730" i="7"/>
  <c r="F729" i="7"/>
  <c r="E729" i="7"/>
  <c r="D729" i="7"/>
  <c r="C729" i="7"/>
  <c r="B729" i="7"/>
  <c r="A729" i="7"/>
  <c r="F728" i="7"/>
  <c r="E728" i="7"/>
  <c r="D728" i="7"/>
  <c r="C728" i="7"/>
  <c r="B728" i="7"/>
  <c r="A728" i="7"/>
  <c r="F727" i="7"/>
  <c r="E727" i="7"/>
  <c r="D727" i="7"/>
  <c r="C727" i="7"/>
  <c r="B727" i="7"/>
  <c r="A727" i="7"/>
  <c r="F726" i="7"/>
  <c r="E726" i="7"/>
  <c r="D726" i="7"/>
  <c r="C726" i="7"/>
  <c r="B726" i="7"/>
  <c r="A726" i="7"/>
  <c r="F725" i="7"/>
  <c r="E725" i="7"/>
  <c r="D725" i="7"/>
  <c r="C725" i="7"/>
  <c r="B725" i="7"/>
  <c r="A725" i="7"/>
  <c r="F724" i="7"/>
  <c r="E724" i="7"/>
  <c r="D724" i="7"/>
  <c r="C724" i="7"/>
  <c r="B724" i="7"/>
  <c r="A724" i="7"/>
  <c r="F723" i="7"/>
  <c r="E723" i="7"/>
  <c r="D723" i="7"/>
  <c r="C723" i="7"/>
  <c r="B723" i="7"/>
  <c r="A723" i="7"/>
  <c r="F722" i="7"/>
  <c r="E722" i="7"/>
  <c r="D722" i="7"/>
  <c r="C722" i="7"/>
  <c r="B722" i="7"/>
  <c r="A722" i="7"/>
  <c r="F721" i="7"/>
  <c r="E721" i="7"/>
  <c r="D721" i="7"/>
  <c r="C721" i="7"/>
  <c r="B721" i="7"/>
  <c r="A721" i="7"/>
  <c r="F720" i="7"/>
  <c r="E720" i="7"/>
  <c r="D720" i="7"/>
  <c r="C720" i="7"/>
  <c r="B720" i="7"/>
  <c r="A720" i="7"/>
  <c r="F719" i="7"/>
  <c r="E719" i="7"/>
  <c r="D719" i="7"/>
  <c r="C719" i="7"/>
  <c r="B719" i="7"/>
  <c r="A719" i="7"/>
  <c r="F718" i="7"/>
  <c r="E718" i="7"/>
  <c r="D718" i="7"/>
  <c r="C718" i="7"/>
  <c r="B718" i="7"/>
  <c r="A718" i="7"/>
  <c r="F717" i="7"/>
  <c r="E717" i="7"/>
  <c r="D717" i="7"/>
  <c r="C717" i="7"/>
  <c r="B717" i="7"/>
  <c r="A717" i="7"/>
  <c r="F716" i="7"/>
  <c r="E716" i="7"/>
  <c r="D716" i="7"/>
  <c r="C716" i="7"/>
  <c r="B716" i="7"/>
  <c r="A716" i="7"/>
  <c r="F715" i="7"/>
  <c r="E715" i="7"/>
  <c r="D715" i="7"/>
  <c r="C715" i="7"/>
  <c r="B715" i="7"/>
  <c r="A715" i="7"/>
  <c r="F714" i="7"/>
  <c r="E714" i="7"/>
  <c r="D714" i="7"/>
  <c r="C714" i="7"/>
  <c r="B714" i="7"/>
  <c r="A714" i="7"/>
  <c r="F713" i="7"/>
  <c r="E713" i="7"/>
  <c r="D713" i="7"/>
  <c r="C713" i="7"/>
  <c r="B713" i="7"/>
  <c r="A713" i="7"/>
  <c r="F712" i="7"/>
  <c r="E712" i="7"/>
  <c r="D712" i="7"/>
  <c r="C712" i="7"/>
  <c r="B712" i="7"/>
  <c r="A712" i="7"/>
  <c r="F711" i="7"/>
  <c r="E711" i="7"/>
  <c r="D711" i="7"/>
  <c r="C711" i="7"/>
  <c r="B711" i="7"/>
  <c r="A711" i="7"/>
  <c r="F710" i="7"/>
  <c r="E710" i="7"/>
  <c r="D710" i="7"/>
  <c r="C710" i="7"/>
  <c r="B710" i="7"/>
  <c r="A710" i="7"/>
  <c r="F709" i="7"/>
  <c r="E709" i="7"/>
  <c r="D709" i="7"/>
  <c r="C709" i="7"/>
  <c r="B709" i="7"/>
  <c r="A709" i="7"/>
  <c r="F708" i="7"/>
  <c r="E708" i="7"/>
  <c r="D708" i="7"/>
  <c r="C708" i="7"/>
  <c r="B708" i="7"/>
  <c r="A708" i="7"/>
  <c r="F707" i="7"/>
  <c r="E707" i="7"/>
  <c r="D707" i="7"/>
  <c r="C707" i="7"/>
  <c r="B707" i="7"/>
  <c r="A707" i="7"/>
  <c r="F706" i="7"/>
  <c r="E706" i="7"/>
  <c r="D706" i="7"/>
  <c r="C706" i="7"/>
  <c r="B706" i="7"/>
  <c r="A706" i="7"/>
  <c r="F705" i="7"/>
  <c r="E705" i="7"/>
  <c r="D705" i="7"/>
  <c r="C705" i="7"/>
  <c r="B705" i="7"/>
  <c r="A705" i="7"/>
  <c r="F704" i="7"/>
  <c r="E704" i="7"/>
  <c r="D704" i="7"/>
  <c r="C704" i="7"/>
  <c r="B704" i="7"/>
  <c r="A704" i="7"/>
  <c r="F703" i="7"/>
  <c r="E703" i="7"/>
  <c r="D703" i="7"/>
  <c r="C703" i="7"/>
  <c r="B703" i="7"/>
  <c r="A703" i="7"/>
  <c r="F702" i="7"/>
  <c r="E702" i="7"/>
  <c r="D702" i="7"/>
  <c r="C702" i="7"/>
  <c r="B702" i="7"/>
  <c r="A702" i="7"/>
  <c r="F701" i="7"/>
  <c r="E701" i="7"/>
  <c r="D701" i="7"/>
  <c r="C701" i="7"/>
  <c r="B701" i="7"/>
  <c r="A701" i="7"/>
  <c r="F700" i="7"/>
  <c r="E700" i="7"/>
  <c r="D700" i="7"/>
  <c r="C700" i="7"/>
  <c r="B700" i="7"/>
  <c r="A700" i="7"/>
  <c r="F699" i="7"/>
  <c r="E699" i="7"/>
  <c r="D699" i="7"/>
  <c r="C699" i="7"/>
  <c r="B699" i="7"/>
  <c r="A699" i="7"/>
  <c r="F698" i="7"/>
  <c r="E698" i="7"/>
  <c r="D698" i="7"/>
  <c r="C698" i="7"/>
  <c r="B698" i="7"/>
  <c r="A698" i="7"/>
  <c r="F697" i="7"/>
  <c r="E697" i="7"/>
  <c r="D697" i="7"/>
  <c r="C697" i="7"/>
  <c r="B697" i="7"/>
  <c r="A697" i="7"/>
  <c r="F696" i="7"/>
  <c r="E696" i="7"/>
  <c r="D696" i="7"/>
  <c r="C696" i="7"/>
  <c r="B696" i="7"/>
  <c r="A696" i="7"/>
  <c r="F695" i="7"/>
  <c r="E695" i="7"/>
  <c r="D695" i="7"/>
  <c r="C695" i="7"/>
  <c r="B695" i="7"/>
  <c r="A695" i="7"/>
  <c r="F694" i="7"/>
  <c r="E694" i="7"/>
  <c r="D694" i="7"/>
  <c r="C694" i="7"/>
  <c r="B694" i="7"/>
  <c r="A694" i="7"/>
  <c r="F693" i="7"/>
  <c r="E693" i="7"/>
  <c r="D693" i="7"/>
  <c r="C693" i="7"/>
  <c r="B693" i="7"/>
  <c r="A693" i="7"/>
  <c r="F692" i="7"/>
  <c r="E692" i="7"/>
  <c r="D692" i="7"/>
  <c r="C692" i="7"/>
  <c r="B692" i="7"/>
  <c r="A692" i="7"/>
  <c r="F691" i="7"/>
  <c r="E691" i="7"/>
  <c r="D691" i="7"/>
  <c r="C691" i="7"/>
  <c r="B691" i="7"/>
  <c r="A691" i="7"/>
  <c r="F690" i="7"/>
  <c r="E690" i="7"/>
  <c r="D690" i="7"/>
  <c r="C690" i="7"/>
  <c r="B690" i="7"/>
  <c r="A690" i="7"/>
  <c r="F689" i="7"/>
  <c r="E689" i="7"/>
  <c r="D689" i="7"/>
  <c r="C689" i="7"/>
  <c r="B689" i="7"/>
  <c r="A689" i="7"/>
  <c r="F688" i="7"/>
  <c r="E688" i="7"/>
  <c r="D688" i="7"/>
  <c r="C688" i="7"/>
  <c r="B688" i="7"/>
  <c r="A688" i="7"/>
  <c r="F687" i="7"/>
  <c r="E687" i="7"/>
  <c r="D687" i="7"/>
  <c r="C687" i="7"/>
  <c r="B687" i="7"/>
  <c r="A687" i="7"/>
  <c r="F686" i="7"/>
  <c r="E686" i="7"/>
  <c r="D686" i="7"/>
  <c r="C686" i="7"/>
  <c r="B686" i="7"/>
  <c r="A686" i="7"/>
  <c r="F685" i="7"/>
  <c r="E685" i="7"/>
  <c r="D685" i="7"/>
  <c r="C685" i="7"/>
  <c r="B685" i="7"/>
  <c r="A685" i="7"/>
  <c r="F684" i="7"/>
  <c r="E684" i="7"/>
  <c r="D684" i="7"/>
  <c r="C684" i="7"/>
  <c r="B684" i="7"/>
  <c r="A684" i="7"/>
  <c r="F683" i="7"/>
  <c r="E683" i="7"/>
  <c r="D683" i="7"/>
  <c r="C683" i="7"/>
  <c r="B683" i="7"/>
  <c r="A683" i="7"/>
  <c r="F682" i="7"/>
  <c r="E682" i="7"/>
  <c r="D682" i="7"/>
  <c r="C682" i="7"/>
  <c r="B682" i="7"/>
  <c r="A682" i="7"/>
  <c r="F681" i="7"/>
  <c r="E681" i="7"/>
  <c r="D681" i="7"/>
  <c r="C681" i="7"/>
  <c r="B681" i="7"/>
  <c r="A681" i="7"/>
  <c r="F680" i="7"/>
  <c r="E680" i="7"/>
  <c r="D680" i="7"/>
  <c r="C680" i="7"/>
  <c r="B680" i="7"/>
  <c r="A680" i="7"/>
  <c r="F679" i="7"/>
  <c r="E679" i="7"/>
  <c r="D679" i="7"/>
  <c r="C679" i="7"/>
  <c r="B679" i="7"/>
  <c r="A679" i="7"/>
  <c r="F678" i="7"/>
  <c r="E678" i="7"/>
  <c r="D678" i="7"/>
  <c r="C678" i="7"/>
  <c r="B678" i="7"/>
  <c r="A678" i="7"/>
  <c r="F677" i="7"/>
  <c r="E677" i="7"/>
  <c r="D677" i="7"/>
  <c r="C677" i="7"/>
  <c r="B677" i="7"/>
  <c r="A677" i="7"/>
  <c r="F676" i="7"/>
  <c r="E676" i="7"/>
  <c r="D676" i="7"/>
  <c r="C676" i="7"/>
  <c r="B676" i="7"/>
  <c r="A676" i="7"/>
  <c r="F675" i="7"/>
  <c r="E675" i="7"/>
  <c r="D675" i="7"/>
  <c r="C675" i="7"/>
  <c r="B675" i="7"/>
  <c r="A675" i="7"/>
  <c r="F674" i="7"/>
  <c r="E674" i="7"/>
  <c r="D674" i="7"/>
  <c r="C674" i="7"/>
  <c r="B674" i="7"/>
  <c r="A674" i="7"/>
  <c r="F673" i="7"/>
  <c r="E673" i="7"/>
  <c r="D673" i="7"/>
  <c r="C673" i="7"/>
  <c r="B673" i="7"/>
  <c r="A673" i="7"/>
  <c r="F672" i="7"/>
  <c r="E672" i="7"/>
  <c r="D672" i="7"/>
  <c r="C672" i="7"/>
  <c r="B672" i="7"/>
  <c r="A672" i="7"/>
  <c r="F671" i="7"/>
  <c r="E671" i="7"/>
  <c r="D671" i="7"/>
  <c r="C671" i="7"/>
  <c r="B671" i="7"/>
  <c r="A671" i="7"/>
  <c r="F670" i="7"/>
  <c r="E670" i="7"/>
  <c r="D670" i="7"/>
  <c r="C670" i="7"/>
  <c r="B670" i="7"/>
  <c r="A670" i="7"/>
  <c r="F669" i="7"/>
  <c r="E669" i="7"/>
  <c r="D669" i="7"/>
  <c r="C669" i="7"/>
  <c r="B669" i="7"/>
  <c r="A669" i="7"/>
  <c r="F668" i="7"/>
  <c r="E668" i="7"/>
  <c r="D668" i="7"/>
  <c r="C668" i="7"/>
  <c r="B668" i="7"/>
  <c r="A668" i="7"/>
  <c r="F667" i="7"/>
  <c r="E667" i="7"/>
  <c r="D667" i="7"/>
  <c r="C667" i="7"/>
  <c r="B667" i="7"/>
  <c r="A667" i="7"/>
  <c r="F666" i="7"/>
  <c r="E666" i="7"/>
  <c r="D666" i="7"/>
  <c r="C666" i="7"/>
  <c r="B666" i="7"/>
  <c r="A666" i="7"/>
  <c r="F665" i="7"/>
  <c r="E665" i="7"/>
  <c r="D665" i="7"/>
  <c r="C665" i="7"/>
  <c r="B665" i="7"/>
  <c r="A665" i="7"/>
  <c r="F664" i="7"/>
  <c r="E664" i="7"/>
  <c r="D664" i="7"/>
  <c r="C664" i="7"/>
  <c r="B664" i="7"/>
  <c r="A664" i="7"/>
  <c r="F663" i="7"/>
  <c r="E663" i="7"/>
  <c r="D663" i="7"/>
  <c r="C663" i="7"/>
  <c r="B663" i="7"/>
  <c r="A663" i="7"/>
  <c r="F662" i="7"/>
  <c r="E662" i="7"/>
  <c r="D662" i="7"/>
  <c r="C662" i="7"/>
  <c r="B662" i="7"/>
  <c r="A662" i="7"/>
  <c r="F661" i="7"/>
  <c r="E661" i="7"/>
  <c r="D661" i="7"/>
  <c r="C661" i="7"/>
  <c r="B661" i="7"/>
  <c r="A661" i="7"/>
  <c r="F660" i="7"/>
  <c r="E660" i="7"/>
  <c r="D660" i="7"/>
  <c r="C660" i="7"/>
  <c r="B660" i="7"/>
  <c r="A660" i="7"/>
  <c r="F659" i="7"/>
  <c r="E659" i="7"/>
  <c r="D659" i="7"/>
  <c r="C659" i="7"/>
  <c r="B659" i="7"/>
  <c r="A659" i="7"/>
  <c r="F658" i="7"/>
  <c r="E658" i="7"/>
  <c r="D658" i="7"/>
  <c r="C658" i="7"/>
  <c r="B658" i="7"/>
  <c r="A658" i="7"/>
  <c r="F657" i="7"/>
  <c r="E657" i="7"/>
  <c r="D657" i="7"/>
  <c r="C657" i="7"/>
  <c r="B657" i="7"/>
  <c r="A657" i="7"/>
  <c r="F656" i="7"/>
  <c r="E656" i="7"/>
  <c r="D656" i="7"/>
  <c r="C656" i="7"/>
  <c r="B656" i="7"/>
  <c r="A656" i="7"/>
  <c r="F655" i="7"/>
  <c r="E655" i="7"/>
  <c r="D655" i="7"/>
  <c r="C655" i="7"/>
  <c r="B655" i="7"/>
  <c r="A655" i="7"/>
  <c r="F654" i="7"/>
  <c r="E654" i="7"/>
  <c r="D654" i="7"/>
  <c r="C654" i="7"/>
  <c r="B654" i="7"/>
  <c r="A654" i="7"/>
  <c r="F653" i="7"/>
  <c r="E653" i="7"/>
  <c r="D653" i="7"/>
  <c r="C653" i="7"/>
  <c r="B653" i="7"/>
  <c r="A653" i="7"/>
  <c r="F652" i="7"/>
  <c r="E652" i="7"/>
  <c r="D652" i="7"/>
  <c r="C652" i="7"/>
  <c r="B652" i="7"/>
  <c r="A652" i="7"/>
  <c r="F651" i="7"/>
  <c r="E651" i="7"/>
  <c r="D651" i="7"/>
  <c r="C651" i="7"/>
  <c r="B651" i="7"/>
  <c r="A651" i="7"/>
  <c r="F650" i="7"/>
  <c r="E650" i="7"/>
  <c r="D650" i="7"/>
  <c r="C650" i="7"/>
  <c r="B650" i="7"/>
  <c r="A650" i="7"/>
  <c r="F649" i="7"/>
  <c r="E649" i="7"/>
  <c r="D649" i="7"/>
  <c r="C649" i="7"/>
  <c r="B649" i="7"/>
  <c r="A649" i="7"/>
  <c r="F648" i="7"/>
  <c r="E648" i="7"/>
  <c r="D648" i="7"/>
  <c r="C648" i="7"/>
  <c r="B648" i="7"/>
  <c r="A648" i="7"/>
  <c r="F647" i="7"/>
  <c r="E647" i="7"/>
  <c r="D647" i="7"/>
  <c r="C647" i="7"/>
  <c r="B647" i="7"/>
  <c r="A647" i="7"/>
  <c r="F646" i="7"/>
  <c r="E646" i="7"/>
  <c r="D646" i="7"/>
  <c r="C646" i="7"/>
  <c r="B646" i="7"/>
  <c r="A646" i="7"/>
  <c r="F645" i="7"/>
  <c r="E645" i="7"/>
  <c r="D645" i="7"/>
  <c r="C645" i="7"/>
  <c r="B645" i="7"/>
  <c r="A645" i="7"/>
  <c r="F644" i="7"/>
  <c r="E644" i="7"/>
  <c r="D644" i="7"/>
  <c r="C644" i="7"/>
  <c r="B644" i="7"/>
  <c r="A644" i="7"/>
  <c r="F643" i="7"/>
  <c r="E643" i="7"/>
  <c r="D643" i="7"/>
  <c r="C643" i="7"/>
  <c r="B643" i="7"/>
  <c r="A643" i="7"/>
  <c r="F642" i="7"/>
  <c r="E642" i="7"/>
  <c r="D642" i="7"/>
  <c r="C642" i="7"/>
  <c r="B642" i="7"/>
  <c r="A642" i="7"/>
  <c r="F641" i="7"/>
  <c r="E641" i="7"/>
  <c r="D641" i="7"/>
  <c r="C641" i="7"/>
  <c r="B641" i="7"/>
  <c r="A641" i="7"/>
  <c r="F640" i="7"/>
  <c r="E640" i="7"/>
  <c r="D640" i="7"/>
  <c r="C640" i="7"/>
  <c r="B640" i="7"/>
  <c r="A640" i="7"/>
  <c r="F639" i="7"/>
  <c r="E639" i="7"/>
  <c r="D639" i="7"/>
  <c r="C639" i="7"/>
  <c r="B639" i="7"/>
  <c r="A639" i="7"/>
  <c r="F638" i="7"/>
  <c r="E638" i="7"/>
  <c r="D638" i="7"/>
  <c r="C638" i="7"/>
  <c r="B638" i="7"/>
  <c r="A638" i="7"/>
  <c r="F637" i="7"/>
  <c r="E637" i="7"/>
  <c r="D637" i="7"/>
  <c r="C637" i="7"/>
  <c r="B637" i="7"/>
  <c r="A637" i="7"/>
  <c r="F636" i="7"/>
  <c r="E636" i="7"/>
  <c r="D636" i="7"/>
  <c r="C636" i="7"/>
  <c r="B636" i="7"/>
  <c r="A636" i="7"/>
  <c r="F635" i="7"/>
  <c r="E635" i="7"/>
  <c r="D635" i="7"/>
  <c r="C635" i="7"/>
  <c r="B635" i="7"/>
  <c r="A635" i="7"/>
  <c r="F634" i="7"/>
  <c r="E634" i="7"/>
  <c r="D634" i="7"/>
  <c r="C634" i="7"/>
  <c r="B634" i="7"/>
  <c r="A634" i="7"/>
  <c r="F633" i="7"/>
  <c r="E633" i="7"/>
  <c r="D633" i="7"/>
  <c r="C633" i="7"/>
  <c r="B633" i="7"/>
  <c r="A633" i="7"/>
  <c r="F632" i="7"/>
  <c r="E632" i="7"/>
  <c r="D632" i="7"/>
  <c r="C632" i="7"/>
  <c r="B632" i="7"/>
  <c r="A632" i="7"/>
  <c r="F631" i="7"/>
  <c r="E631" i="7"/>
  <c r="D631" i="7"/>
  <c r="C631" i="7"/>
  <c r="B631" i="7"/>
  <c r="A631" i="7"/>
  <c r="F630" i="7"/>
  <c r="E630" i="7"/>
  <c r="D630" i="7"/>
  <c r="C630" i="7"/>
  <c r="B630" i="7"/>
  <c r="A630" i="7"/>
  <c r="F629" i="7"/>
  <c r="E629" i="7"/>
  <c r="D629" i="7"/>
  <c r="C629" i="7"/>
  <c r="B629" i="7"/>
  <c r="A629" i="7"/>
  <c r="F628" i="7"/>
  <c r="E628" i="7"/>
  <c r="D628" i="7"/>
  <c r="C628" i="7"/>
  <c r="B628" i="7"/>
  <c r="A628" i="7"/>
  <c r="F627" i="7"/>
  <c r="E627" i="7"/>
  <c r="D627" i="7"/>
  <c r="C627" i="7"/>
  <c r="B627" i="7"/>
  <c r="A627" i="7"/>
  <c r="F626" i="7"/>
  <c r="E626" i="7"/>
  <c r="D626" i="7"/>
  <c r="C626" i="7"/>
  <c r="B626" i="7"/>
  <c r="A626" i="7"/>
  <c r="F625" i="7"/>
  <c r="E625" i="7"/>
  <c r="D625" i="7"/>
  <c r="C625" i="7"/>
  <c r="B625" i="7"/>
  <c r="A625" i="7"/>
  <c r="F624" i="7"/>
  <c r="E624" i="7"/>
  <c r="D624" i="7"/>
  <c r="C624" i="7"/>
  <c r="F623" i="7"/>
  <c r="E623" i="7"/>
  <c r="D623" i="7"/>
  <c r="C623" i="7"/>
  <c r="B623" i="7"/>
  <c r="A623" i="7"/>
  <c r="F622" i="7"/>
  <c r="E622" i="7"/>
  <c r="D622" i="7"/>
  <c r="C622" i="7"/>
  <c r="B622" i="7"/>
  <c r="A622" i="7"/>
  <c r="F621" i="7"/>
  <c r="E621" i="7"/>
  <c r="D621" i="7"/>
  <c r="C621" i="7"/>
  <c r="B621" i="7"/>
  <c r="A621" i="7"/>
  <c r="F620" i="7"/>
  <c r="E620" i="7"/>
  <c r="D620" i="7"/>
  <c r="C620" i="7"/>
  <c r="B620" i="7"/>
  <c r="A620" i="7"/>
  <c r="F619" i="7"/>
  <c r="E619" i="7"/>
  <c r="D619" i="7"/>
  <c r="C619" i="7"/>
  <c r="B619" i="7"/>
  <c r="A619" i="7"/>
  <c r="F618" i="7"/>
  <c r="E618" i="7"/>
  <c r="D618" i="7"/>
  <c r="C618" i="7"/>
  <c r="B618" i="7"/>
  <c r="A618" i="7"/>
  <c r="F617" i="7"/>
  <c r="E617" i="7"/>
  <c r="D617" i="7"/>
  <c r="C617" i="7"/>
  <c r="B617" i="7"/>
  <c r="A617" i="7"/>
  <c r="F616" i="7"/>
  <c r="E616" i="7"/>
  <c r="D616" i="7"/>
  <c r="C616" i="7"/>
  <c r="B616" i="7"/>
  <c r="A616" i="7"/>
  <c r="F615" i="7"/>
  <c r="E615" i="7"/>
  <c r="D615" i="7"/>
  <c r="C615" i="7"/>
  <c r="B615" i="7"/>
  <c r="A615" i="7"/>
  <c r="F614" i="7"/>
  <c r="E614" i="7"/>
  <c r="D614" i="7"/>
  <c r="C614" i="7"/>
  <c r="B614" i="7"/>
  <c r="A614" i="7"/>
  <c r="F613" i="7"/>
  <c r="E613" i="7"/>
  <c r="D613" i="7"/>
  <c r="C613" i="7"/>
  <c r="B613" i="7"/>
  <c r="A613" i="7"/>
  <c r="F612" i="7"/>
  <c r="E612" i="7"/>
  <c r="D612" i="7"/>
  <c r="C612" i="7"/>
  <c r="B612" i="7"/>
  <c r="A612" i="7"/>
  <c r="F611" i="7"/>
  <c r="E611" i="7"/>
  <c r="D611" i="7"/>
  <c r="C611" i="7"/>
  <c r="B611" i="7"/>
  <c r="A611" i="7"/>
  <c r="F610" i="7"/>
  <c r="E610" i="7"/>
  <c r="D610" i="7"/>
  <c r="C610" i="7"/>
  <c r="B610" i="7"/>
  <c r="A610" i="7"/>
  <c r="F609" i="7"/>
  <c r="E609" i="7"/>
  <c r="D609" i="7"/>
  <c r="C609" i="7"/>
  <c r="B609" i="7"/>
  <c r="A609" i="7"/>
  <c r="F608" i="7"/>
  <c r="E608" i="7"/>
  <c r="D608" i="7"/>
  <c r="C608" i="7"/>
  <c r="B608" i="7"/>
  <c r="A608" i="7"/>
  <c r="F607" i="7"/>
  <c r="E607" i="7"/>
  <c r="D607" i="7"/>
  <c r="C607" i="7"/>
  <c r="B607" i="7"/>
  <c r="A607" i="7"/>
  <c r="F606" i="7"/>
  <c r="E606" i="7"/>
  <c r="D606" i="7"/>
  <c r="C606" i="7"/>
  <c r="B606" i="7"/>
  <c r="A606" i="7"/>
  <c r="F605" i="7"/>
  <c r="E605" i="7"/>
  <c r="D605" i="7"/>
  <c r="C605" i="7"/>
  <c r="B605" i="7"/>
  <c r="A605" i="7"/>
  <c r="F604" i="7"/>
  <c r="E604" i="7"/>
  <c r="D604" i="7"/>
  <c r="C604" i="7"/>
  <c r="B604" i="7"/>
  <c r="A604" i="7"/>
  <c r="F603" i="7"/>
  <c r="E603" i="7"/>
  <c r="D603" i="7"/>
  <c r="C603" i="7"/>
  <c r="B603" i="7"/>
  <c r="A603" i="7"/>
  <c r="F602" i="7"/>
  <c r="E602" i="7"/>
  <c r="D602" i="7"/>
  <c r="C602" i="7"/>
  <c r="B602" i="7"/>
  <c r="A602" i="7"/>
  <c r="F601" i="7"/>
  <c r="E601" i="7"/>
  <c r="D601" i="7"/>
  <c r="C601" i="7"/>
  <c r="B601" i="7"/>
  <c r="A601" i="7"/>
  <c r="F600" i="7"/>
  <c r="E600" i="7"/>
  <c r="D600" i="7"/>
  <c r="C600" i="7"/>
  <c r="B600" i="7"/>
  <c r="A600" i="7"/>
  <c r="F599" i="7"/>
  <c r="E599" i="7"/>
  <c r="D599" i="7"/>
  <c r="C599" i="7"/>
  <c r="B599" i="7"/>
  <c r="A599" i="7"/>
  <c r="F598" i="7"/>
  <c r="E598" i="7"/>
  <c r="D598" i="7"/>
  <c r="C598" i="7"/>
  <c r="B598" i="7"/>
  <c r="A598" i="7"/>
  <c r="F597" i="7"/>
  <c r="E597" i="7"/>
  <c r="D597" i="7"/>
  <c r="C597" i="7"/>
  <c r="B597" i="7"/>
  <c r="A597" i="7"/>
  <c r="F596" i="7"/>
  <c r="E596" i="7"/>
  <c r="D596" i="7"/>
  <c r="C596" i="7"/>
  <c r="B596" i="7"/>
  <c r="A596" i="7"/>
  <c r="F595" i="7"/>
  <c r="E595" i="7"/>
  <c r="D595" i="7"/>
  <c r="C595" i="7"/>
  <c r="B595" i="7"/>
  <c r="A595" i="7"/>
  <c r="F594" i="7"/>
  <c r="E594" i="7"/>
  <c r="D594" i="7"/>
  <c r="C594" i="7"/>
  <c r="B594" i="7"/>
  <c r="A594" i="7"/>
  <c r="F593" i="7"/>
  <c r="E593" i="7"/>
  <c r="D593" i="7"/>
  <c r="C593" i="7"/>
  <c r="B593" i="7"/>
  <c r="A593" i="7"/>
  <c r="F592" i="7"/>
  <c r="E592" i="7"/>
  <c r="D592" i="7"/>
  <c r="C592" i="7"/>
  <c r="B592" i="7"/>
  <c r="A592" i="7"/>
  <c r="F591" i="7"/>
  <c r="E591" i="7"/>
  <c r="D591" i="7"/>
  <c r="C591" i="7"/>
  <c r="B591" i="7"/>
  <c r="A591" i="7"/>
  <c r="F590" i="7"/>
  <c r="E590" i="7"/>
  <c r="D590" i="7"/>
  <c r="C590" i="7"/>
  <c r="B590" i="7"/>
  <c r="A590" i="7"/>
  <c r="F589" i="7"/>
  <c r="E589" i="7"/>
  <c r="D589" i="7"/>
  <c r="C589" i="7"/>
  <c r="B589" i="7"/>
  <c r="A589" i="7"/>
  <c r="F588" i="7"/>
  <c r="E588" i="7"/>
  <c r="D588" i="7"/>
  <c r="C588" i="7"/>
  <c r="B588" i="7"/>
  <c r="A588" i="7"/>
  <c r="F587" i="7"/>
  <c r="E587" i="7"/>
  <c r="D587" i="7"/>
  <c r="C587" i="7"/>
  <c r="B587" i="7"/>
  <c r="A587" i="7"/>
  <c r="F586" i="7"/>
  <c r="E586" i="7"/>
  <c r="D586" i="7"/>
  <c r="C586" i="7"/>
  <c r="B586" i="7"/>
  <c r="A586" i="7"/>
  <c r="F585" i="7"/>
  <c r="E585" i="7"/>
  <c r="D585" i="7"/>
  <c r="C585" i="7"/>
  <c r="B585" i="7"/>
  <c r="A585" i="7"/>
  <c r="F584" i="7"/>
  <c r="E584" i="7"/>
  <c r="D584" i="7"/>
  <c r="C584" i="7"/>
  <c r="B584" i="7"/>
  <c r="A584" i="7"/>
  <c r="F583" i="7"/>
  <c r="E583" i="7"/>
  <c r="D583" i="7"/>
  <c r="C583" i="7"/>
  <c r="B583" i="7"/>
  <c r="A583" i="7"/>
  <c r="F582" i="7"/>
  <c r="E582" i="7"/>
  <c r="D582" i="7"/>
  <c r="C582" i="7"/>
  <c r="B582" i="7"/>
  <c r="A582" i="7"/>
  <c r="F581" i="7"/>
  <c r="E581" i="7"/>
  <c r="D581" i="7"/>
  <c r="C581" i="7"/>
  <c r="B581" i="7"/>
  <c r="A581" i="7"/>
  <c r="F580" i="7"/>
  <c r="E580" i="7"/>
  <c r="D580" i="7"/>
  <c r="C580" i="7"/>
  <c r="B580" i="7"/>
  <c r="A580" i="7"/>
  <c r="F579" i="7"/>
  <c r="E579" i="7"/>
  <c r="D579" i="7"/>
  <c r="C579" i="7"/>
  <c r="B579" i="7"/>
  <c r="A579" i="7"/>
  <c r="F578" i="7"/>
  <c r="E578" i="7"/>
  <c r="D578" i="7"/>
  <c r="C578" i="7"/>
  <c r="B578" i="7"/>
  <c r="A578" i="7"/>
  <c r="F577" i="7"/>
  <c r="E577" i="7"/>
  <c r="D577" i="7"/>
  <c r="C577" i="7"/>
  <c r="B577" i="7"/>
  <c r="A577" i="7"/>
  <c r="F576" i="7"/>
  <c r="E576" i="7"/>
  <c r="D576" i="7"/>
  <c r="C576" i="7"/>
  <c r="B576" i="7"/>
  <c r="A576" i="7"/>
  <c r="F575" i="7"/>
  <c r="E575" i="7"/>
  <c r="D575" i="7"/>
  <c r="C575" i="7"/>
  <c r="B575" i="7"/>
  <c r="A575" i="7"/>
  <c r="F574" i="7"/>
  <c r="E574" i="7"/>
  <c r="D574" i="7"/>
  <c r="C574" i="7"/>
  <c r="B574" i="7"/>
  <c r="A574" i="7"/>
  <c r="F573" i="7"/>
  <c r="E573" i="7"/>
  <c r="D573" i="7"/>
  <c r="C573" i="7"/>
  <c r="B573" i="7"/>
  <c r="A573" i="7"/>
  <c r="F572" i="7"/>
  <c r="E572" i="7"/>
  <c r="D572" i="7"/>
  <c r="C572" i="7"/>
  <c r="B572" i="7"/>
  <c r="A572" i="7"/>
  <c r="F571" i="7"/>
  <c r="E571" i="7"/>
  <c r="D571" i="7"/>
  <c r="C571" i="7"/>
  <c r="B571" i="7"/>
  <c r="A571" i="7"/>
  <c r="F570" i="7"/>
  <c r="E570" i="7"/>
  <c r="D570" i="7"/>
  <c r="C570" i="7"/>
  <c r="B570" i="7"/>
  <c r="A570" i="7"/>
  <c r="F569" i="7"/>
  <c r="E569" i="7"/>
  <c r="D569" i="7"/>
  <c r="C569" i="7"/>
  <c r="B569" i="7"/>
  <c r="A569" i="7"/>
  <c r="F568" i="7"/>
  <c r="E568" i="7"/>
  <c r="D568" i="7"/>
  <c r="C568" i="7"/>
  <c r="B568" i="7"/>
  <c r="A568" i="7"/>
  <c r="F567" i="7"/>
  <c r="E567" i="7"/>
  <c r="D567" i="7"/>
  <c r="C567" i="7"/>
  <c r="B567" i="7"/>
  <c r="A567" i="7"/>
  <c r="F566" i="7"/>
  <c r="E566" i="7"/>
  <c r="D566" i="7"/>
  <c r="C566" i="7"/>
  <c r="B566" i="7"/>
  <c r="A566" i="7"/>
  <c r="F565" i="7"/>
  <c r="E565" i="7"/>
  <c r="D565" i="7"/>
  <c r="C565" i="7"/>
  <c r="B565" i="7"/>
  <c r="A565" i="7"/>
  <c r="F564" i="7"/>
  <c r="E564" i="7"/>
  <c r="D564" i="7"/>
  <c r="C564" i="7"/>
  <c r="B564" i="7"/>
  <c r="A564" i="7"/>
  <c r="F563" i="7"/>
  <c r="E563" i="7"/>
  <c r="D563" i="7"/>
  <c r="C563" i="7"/>
  <c r="B563" i="7"/>
  <c r="A563" i="7"/>
  <c r="F562" i="7"/>
  <c r="E562" i="7"/>
  <c r="D562" i="7"/>
  <c r="C562" i="7"/>
  <c r="B562" i="7"/>
  <c r="A562" i="7"/>
  <c r="F561" i="7"/>
  <c r="E561" i="7"/>
  <c r="D561" i="7"/>
  <c r="C561" i="7"/>
  <c r="B561" i="7"/>
  <c r="A561" i="7"/>
  <c r="F560" i="7"/>
  <c r="E560" i="7"/>
  <c r="D560" i="7"/>
  <c r="C560" i="7"/>
  <c r="B560" i="7"/>
  <c r="A560" i="7"/>
  <c r="F559" i="7"/>
  <c r="E559" i="7"/>
  <c r="D559" i="7"/>
  <c r="C559" i="7"/>
  <c r="B559" i="7"/>
  <c r="A559" i="7"/>
  <c r="F558" i="7"/>
  <c r="E558" i="7"/>
  <c r="D558" i="7"/>
  <c r="C558" i="7"/>
  <c r="B558" i="7"/>
  <c r="A558" i="7"/>
  <c r="F557" i="7"/>
  <c r="E557" i="7"/>
  <c r="D557" i="7"/>
  <c r="C557" i="7"/>
  <c r="B557" i="7"/>
  <c r="A557" i="7"/>
  <c r="F556" i="7"/>
  <c r="E556" i="7"/>
  <c r="D556" i="7"/>
  <c r="C556" i="7"/>
  <c r="B556" i="7"/>
  <c r="A556" i="7"/>
  <c r="F555" i="7"/>
  <c r="E555" i="7"/>
  <c r="D555" i="7"/>
  <c r="C555" i="7"/>
  <c r="B555" i="7"/>
  <c r="A555" i="7"/>
  <c r="F554" i="7"/>
  <c r="E554" i="7"/>
  <c r="D554" i="7"/>
  <c r="C554" i="7"/>
  <c r="B554" i="7"/>
  <c r="A554" i="7"/>
  <c r="F553" i="7"/>
  <c r="E553" i="7"/>
  <c r="D553" i="7"/>
  <c r="C553" i="7"/>
  <c r="B553" i="7"/>
  <c r="A553" i="7"/>
  <c r="F552" i="7"/>
  <c r="E552" i="7"/>
  <c r="D552" i="7"/>
  <c r="C552" i="7"/>
  <c r="B552" i="7"/>
  <c r="A552" i="7"/>
  <c r="F551" i="7"/>
  <c r="E551" i="7"/>
  <c r="D551" i="7"/>
  <c r="C551" i="7"/>
  <c r="B551" i="7"/>
  <c r="A551" i="7"/>
  <c r="F550" i="7"/>
  <c r="E550" i="7"/>
  <c r="D550" i="7"/>
  <c r="C550" i="7"/>
  <c r="B550" i="7"/>
  <c r="A550" i="7"/>
  <c r="F549" i="7"/>
  <c r="E549" i="7"/>
  <c r="D549" i="7"/>
  <c r="C549" i="7"/>
  <c r="B549" i="7"/>
  <c r="A549" i="7"/>
  <c r="F548" i="7"/>
  <c r="E548" i="7"/>
  <c r="D548" i="7"/>
  <c r="C548" i="7"/>
  <c r="B548" i="7"/>
  <c r="A548" i="7"/>
  <c r="F547" i="7"/>
  <c r="E547" i="7"/>
  <c r="D547" i="7"/>
  <c r="C547" i="7"/>
  <c r="B547" i="7"/>
  <c r="A547" i="7"/>
  <c r="F546" i="7"/>
  <c r="E546" i="7"/>
  <c r="D546" i="7"/>
  <c r="C546" i="7"/>
  <c r="B546" i="7"/>
  <c r="A546" i="7"/>
  <c r="F545" i="7"/>
  <c r="E545" i="7"/>
  <c r="D545" i="7"/>
  <c r="C545" i="7"/>
  <c r="B545" i="7"/>
  <c r="A545" i="7"/>
  <c r="F544" i="7"/>
  <c r="E544" i="7"/>
  <c r="D544" i="7"/>
  <c r="C544" i="7"/>
  <c r="B544" i="7"/>
  <c r="A544" i="7"/>
  <c r="F543" i="7"/>
  <c r="E543" i="7"/>
  <c r="D543" i="7"/>
  <c r="C543" i="7"/>
  <c r="B543" i="7"/>
  <c r="A543" i="7"/>
  <c r="F542" i="7"/>
  <c r="E542" i="7"/>
  <c r="D542" i="7"/>
  <c r="C542" i="7"/>
  <c r="B542" i="7"/>
  <c r="A542" i="7"/>
  <c r="F541" i="7"/>
  <c r="E541" i="7"/>
  <c r="D541" i="7"/>
  <c r="C541" i="7"/>
  <c r="B541" i="7"/>
  <c r="A541" i="7"/>
  <c r="F540" i="7"/>
  <c r="E540" i="7"/>
  <c r="D540" i="7"/>
  <c r="C540" i="7"/>
  <c r="B540" i="7"/>
  <c r="A540" i="7"/>
  <c r="F539" i="7"/>
  <c r="E539" i="7"/>
  <c r="D539" i="7"/>
  <c r="C539" i="7"/>
  <c r="B539" i="7"/>
  <c r="A539" i="7"/>
  <c r="F538" i="7"/>
  <c r="E538" i="7"/>
  <c r="D538" i="7"/>
  <c r="C538" i="7"/>
  <c r="B538" i="7"/>
  <c r="A538" i="7"/>
  <c r="F537" i="7"/>
  <c r="E537" i="7"/>
  <c r="D537" i="7"/>
  <c r="C537" i="7"/>
  <c r="B537" i="7"/>
  <c r="A537" i="7"/>
  <c r="F536" i="7"/>
  <c r="E536" i="7"/>
  <c r="D536" i="7"/>
  <c r="C536" i="7"/>
  <c r="B536" i="7"/>
  <c r="A536" i="7"/>
  <c r="F535" i="7"/>
  <c r="E535" i="7"/>
  <c r="D535" i="7"/>
  <c r="C535" i="7"/>
  <c r="B535" i="7"/>
  <c r="A535" i="7"/>
  <c r="F534" i="7"/>
  <c r="E534" i="7"/>
  <c r="D534" i="7"/>
  <c r="C534" i="7"/>
  <c r="B534" i="7"/>
  <c r="A534" i="7"/>
  <c r="F533" i="7"/>
  <c r="E533" i="7"/>
  <c r="D533" i="7"/>
  <c r="C533" i="7"/>
  <c r="B533" i="7"/>
  <c r="A533" i="7"/>
  <c r="F532" i="7"/>
  <c r="E532" i="7"/>
  <c r="D532" i="7"/>
  <c r="C532" i="7"/>
  <c r="F531" i="7"/>
  <c r="E531" i="7"/>
  <c r="D531" i="7"/>
  <c r="C531" i="7"/>
  <c r="B531" i="7"/>
  <c r="A531" i="7"/>
  <c r="F530" i="7"/>
  <c r="E530" i="7"/>
  <c r="D530" i="7"/>
  <c r="C530" i="7"/>
  <c r="B530" i="7"/>
  <c r="A530" i="7"/>
  <c r="F529" i="7"/>
  <c r="E529" i="7"/>
  <c r="D529" i="7"/>
  <c r="C529" i="7"/>
  <c r="B529" i="7"/>
  <c r="A529" i="7"/>
  <c r="F528" i="7"/>
  <c r="E528" i="7"/>
  <c r="D528" i="7"/>
  <c r="C528" i="7"/>
  <c r="B528" i="7"/>
  <c r="A528" i="7"/>
  <c r="F527" i="7"/>
  <c r="E527" i="7"/>
  <c r="D527" i="7"/>
  <c r="C527" i="7"/>
  <c r="B527" i="7"/>
  <c r="A527" i="7"/>
  <c r="F526" i="7"/>
  <c r="E526" i="7"/>
  <c r="D526" i="7"/>
  <c r="C526" i="7"/>
  <c r="B526" i="7"/>
  <c r="A526" i="7"/>
  <c r="F525" i="7"/>
  <c r="E525" i="7"/>
  <c r="D525" i="7"/>
  <c r="C525" i="7"/>
  <c r="B525" i="7"/>
  <c r="A525" i="7"/>
  <c r="F524" i="7"/>
  <c r="E524" i="7"/>
  <c r="D524" i="7"/>
  <c r="C524" i="7"/>
  <c r="B524" i="7"/>
  <c r="A524" i="7"/>
  <c r="F523" i="7"/>
  <c r="E523" i="7"/>
  <c r="D523" i="7"/>
  <c r="C523" i="7"/>
  <c r="B523" i="7"/>
  <c r="A523" i="7"/>
  <c r="F522" i="7"/>
  <c r="E522" i="7"/>
  <c r="D522" i="7"/>
  <c r="C522" i="7"/>
  <c r="B522" i="7"/>
  <c r="A522" i="7"/>
  <c r="F521" i="7"/>
  <c r="E521" i="7"/>
  <c r="D521" i="7"/>
  <c r="C521" i="7"/>
  <c r="B521" i="7"/>
  <c r="A521" i="7"/>
  <c r="F520" i="7"/>
  <c r="E520" i="7"/>
  <c r="D520" i="7"/>
  <c r="C520" i="7"/>
  <c r="B520" i="7"/>
  <c r="A520" i="7"/>
  <c r="F519" i="7"/>
  <c r="E519" i="7"/>
  <c r="D519" i="7"/>
  <c r="C519" i="7"/>
  <c r="F518" i="7"/>
  <c r="E518" i="7"/>
  <c r="D518" i="7"/>
  <c r="C518" i="7"/>
  <c r="B518" i="7"/>
  <c r="A518" i="7"/>
  <c r="F517" i="7"/>
  <c r="E517" i="7"/>
  <c r="D517" i="7"/>
  <c r="C517" i="7"/>
  <c r="B517" i="7"/>
  <c r="A517" i="7"/>
  <c r="F516" i="7"/>
  <c r="E516" i="7"/>
  <c r="D516" i="7"/>
  <c r="C516" i="7"/>
  <c r="B516" i="7"/>
  <c r="A516" i="7"/>
  <c r="F515" i="7"/>
  <c r="E515" i="7"/>
  <c r="D515" i="7"/>
  <c r="C515" i="7"/>
  <c r="B515" i="7"/>
  <c r="A515" i="7"/>
  <c r="F514" i="7"/>
  <c r="E514" i="7"/>
  <c r="D514" i="7"/>
  <c r="C514" i="7"/>
  <c r="B514" i="7"/>
  <c r="A514" i="7"/>
  <c r="F513" i="7"/>
  <c r="E513" i="7"/>
  <c r="D513" i="7"/>
  <c r="C513" i="7"/>
  <c r="B513" i="7"/>
  <c r="A513" i="7"/>
  <c r="F512" i="7"/>
  <c r="E512" i="7"/>
  <c r="D512" i="7"/>
  <c r="C512" i="7"/>
  <c r="B512" i="7"/>
  <c r="A512" i="7"/>
  <c r="F511" i="7"/>
  <c r="E511" i="7"/>
  <c r="D511" i="7"/>
  <c r="C511" i="7"/>
  <c r="B511" i="7"/>
  <c r="A511" i="7"/>
  <c r="F510" i="7"/>
  <c r="E510" i="7"/>
  <c r="D510" i="7"/>
  <c r="C510" i="7"/>
  <c r="B510" i="7"/>
  <c r="A510" i="7"/>
  <c r="F509" i="7"/>
  <c r="E509" i="7"/>
  <c r="D509" i="7"/>
  <c r="C509" i="7"/>
  <c r="B509" i="7"/>
  <c r="A509" i="7"/>
  <c r="F508" i="7"/>
  <c r="E508" i="7"/>
  <c r="D508" i="7"/>
  <c r="C508" i="7"/>
  <c r="B508" i="7"/>
  <c r="A508" i="7"/>
  <c r="F507" i="7"/>
  <c r="E507" i="7"/>
  <c r="D507" i="7"/>
  <c r="C507" i="7"/>
  <c r="B507" i="7"/>
  <c r="A507" i="7"/>
  <c r="F506" i="7"/>
  <c r="E506" i="7"/>
  <c r="D506" i="7"/>
  <c r="C506" i="7"/>
  <c r="B506" i="7"/>
  <c r="A506" i="7"/>
  <c r="F505" i="7"/>
  <c r="E505" i="7"/>
  <c r="D505" i="7"/>
  <c r="C505" i="7"/>
  <c r="B505" i="7"/>
  <c r="A505" i="7"/>
  <c r="F504" i="7"/>
  <c r="E504" i="7"/>
  <c r="D504" i="7"/>
  <c r="C504" i="7"/>
  <c r="B504" i="7"/>
  <c r="A504" i="7"/>
  <c r="F503" i="7"/>
  <c r="E503" i="7"/>
  <c r="D503" i="7"/>
  <c r="C503" i="7"/>
  <c r="B503" i="7"/>
  <c r="A503" i="7"/>
  <c r="F502" i="7"/>
  <c r="E502" i="7"/>
  <c r="D502" i="7"/>
  <c r="C502" i="7"/>
  <c r="B502" i="7"/>
  <c r="A502" i="7"/>
  <c r="F501" i="7"/>
  <c r="E501" i="7"/>
  <c r="D501" i="7"/>
  <c r="C501" i="7"/>
  <c r="B501" i="7"/>
  <c r="A501" i="7"/>
  <c r="F500" i="7"/>
  <c r="E500" i="7"/>
  <c r="D500" i="7"/>
  <c r="C500" i="7"/>
  <c r="B500" i="7"/>
  <c r="A500" i="7"/>
  <c r="F499" i="7"/>
  <c r="E499" i="7"/>
  <c r="D499" i="7"/>
  <c r="C499" i="7"/>
  <c r="B499" i="7"/>
  <c r="A499" i="7"/>
  <c r="F498" i="7"/>
  <c r="E498" i="7"/>
  <c r="D498" i="7"/>
  <c r="C498" i="7"/>
  <c r="B498" i="7"/>
  <c r="A498" i="7"/>
  <c r="F497" i="7"/>
  <c r="E497" i="7"/>
  <c r="D497" i="7"/>
  <c r="C497" i="7"/>
  <c r="B497" i="7"/>
  <c r="A497" i="7"/>
  <c r="F496" i="7"/>
  <c r="E496" i="7"/>
  <c r="D496" i="7"/>
  <c r="C496" i="7"/>
  <c r="B496" i="7"/>
  <c r="A496" i="7"/>
  <c r="F495" i="7"/>
  <c r="E495" i="7"/>
  <c r="D495" i="7"/>
  <c r="C495" i="7"/>
  <c r="B495" i="7"/>
  <c r="A495" i="7"/>
  <c r="F494" i="7"/>
  <c r="E494" i="7"/>
  <c r="D494" i="7"/>
  <c r="C494" i="7"/>
  <c r="B494" i="7"/>
  <c r="A494" i="7"/>
  <c r="F493" i="7"/>
  <c r="E493" i="7"/>
  <c r="D493" i="7"/>
  <c r="C493" i="7"/>
  <c r="B493" i="7"/>
  <c r="A493" i="7"/>
  <c r="F492" i="7"/>
  <c r="E492" i="7"/>
  <c r="D492" i="7"/>
  <c r="C492" i="7"/>
  <c r="B492" i="7"/>
  <c r="A492" i="7"/>
  <c r="F491" i="7"/>
  <c r="E491" i="7"/>
  <c r="D491" i="7"/>
  <c r="C491" i="7"/>
  <c r="B491" i="7"/>
  <c r="A491" i="7"/>
  <c r="F490" i="7"/>
  <c r="E490" i="7"/>
  <c r="D490" i="7"/>
  <c r="C490" i="7"/>
  <c r="B490" i="7"/>
  <c r="A490" i="7"/>
  <c r="F489" i="7"/>
  <c r="E489" i="7"/>
  <c r="D489" i="7"/>
  <c r="C489" i="7"/>
  <c r="B489" i="7"/>
  <c r="A489" i="7"/>
  <c r="F488" i="7"/>
  <c r="E488" i="7"/>
  <c r="D488" i="7"/>
  <c r="C488" i="7"/>
  <c r="B488" i="7"/>
  <c r="A488" i="7"/>
  <c r="F487" i="7"/>
  <c r="E487" i="7"/>
  <c r="D487" i="7"/>
  <c r="C487" i="7"/>
  <c r="B487" i="7"/>
  <c r="A487" i="7"/>
  <c r="F486" i="7"/>
  <c r="E486" i="7"/>
  <c r="D486" i="7"/>
  <c r="C486" i="7"/>
  <c r="B486" i="7"/>
  <c r="A486" i="7"/>
  <c r="F485" i="7"/>
  <c r="E485" i="7"/>
  <c r="D485" i="7"/>
  <c r="C485" i="7"/>
  <c r="B485" i="7"/>
  <c r="A485" i="7"/>
  <c r="F484" i="7"/>
  <c r="E484" i="7"/>
  <c r="D484" i="7"/>
  <c r="C484" i="7"/>
  <c r="B484" i="7"/>
  <c r="A484" i="7"/>
  <c r="F483" i="7"/>
  <c r="E483" i="7"/>
  <c r="D483" i="7"/>
  <c r="C483" i="7"/>
  <c r="B483" i="7"/>
  <c r="A483" i="7"/>
  <c r="F482" i="7"/>
  <c r="E482" i="7"/>
  <c r="D482" i="7"/>
  <c r="C482" i="7"/>
  <c r="B482" i="7"/>
  <c r="A482" i="7"/>
  <c r="F481" i="7"/>
  <c r="E481" i="7"/>
  <c r="D481" i="7"/>
  <c r="C481" i="7"/>
  <c r="B481" i="7"/>
  <c r="A481" i="7"/>
  <c r="F480" i="7"/>
  <c r="E480" i="7"/>
  <c r="D480" i="7"/>
  <c r="C480" i="7"/>
  <c r="B480" i="7"/>
  <c r="A480" i="7"/>
  <c r="F479" i="7"/>
  <c r="E479" i="7"/>
  <c r="D479" i="7"/>
  <c r="C479" i="7"/>
  <c r="B479" i="7"/>
  <c r="A479" i="7"/>
  <c r="F478" i="7"/>
  <c r="E478" i="7"/>
  <c r="D478" i="7"/>
  <c r="C478" i="7"/>
  <c r="B478" i="7"/>
  <c r="A478" i="7"/>
  <c r="F477" i="7"/>
  <c r="E477" i="7"/>
  <c r="D477" i="7"/>
  <c r="C477" i="7"/>
  <c r="B477" i="7"/>
  <c r="A477" i="7"/>
  <c r="F476" i="7"/>
  <c r="E476" i="7"/>
  <c r="D476" i="7"/>
  <c r="C476" i="7"/>
  <c r="B476" i="7"/>
  <c r="A476" i="7"/>
  <c r="F475" i="7"/>
  <c r="E475" i="7"/>
  <c r="D475" i="7"/>
  <c r="C475" i="7"/>
  <c r="F474" i="7"/>
  <c r="E474" i="7"/>
  <c r="D474" i="7"/>
  <c r="C474" i="7"/>
  <c r="B474" i="7"/>
  <c r="A474" i="7"/>
  <c r="F473" i="7"/>
  <c r="E473" i="7"/>
  <c r="D473" i="7"/>
  <c r="C473" i="7"/>
  <c r="B473" i="7"/>
  <c r="A473" i="7"/>
  <c r="F472" i="7"/>
  <c r="E472" i="7"/>
  <c r="D472" i="7"/>
  <c r="C472" i="7"/>
  <c r="B472" i="7"/>
  <c r="A472" i="7"/>
  <c r="F471" i="7"/>
  <c r="E471" i="7"/>
  <c r="D471" i="7"/>
  <c r="C471" i="7"/>
  <c r="B471" i="7"/>
  <c r="A471" i="7"/>
  <c r="F470" i="7"/>
  <c r="E470" i="7"/>
  <c r="D470" i="7"/>
  <c r="C470" i="7"/>
  <c r="B470" i="7"/>
  <c r="A470" i="7"/>
  <c r="F469" i="7"/>
  <c r="E469" i="7"/>
  <c r="D469" i="7"/>
  <c r="C469" i="7"/>
  <c r="B469" i="7"/>
  <c r="A469" i="7"/>
  <c r="F468" i="7"/>
  <c r="E468" i="7"/>
  <c r="D468" i="7"/>
  <c r="C468" i="7"/>
  <c r="B468" i="7"/>
  <c r="A468" i="7"/>
  <c r="F467" i="7"/>
  <c r="E467" i="7"/>
  <c r="D467" i="7"/>
  <c r="C467" i="7"/>
  <c r="B467" i="7"/>
  <c r="A467" i="7"/>
  <c r="F466" i="7"/>
  <c r="E466" i="7"/>
  <c r="D466" i="7"/>
  <c r="C466" i="7"/>
  <c r="B466" i="7"/>
  <c r="A466" i="7"/>
  <c r="F465" i="7"/>
  <c r="E465" i="7"/>
  <c r="D465" i="7"/>
  <c r="C465" i="7"/>
  <c r="B465" i="7"/>
  <c r="A465" i="7"/>
  <c r="F464" i="7"/>
  <c r="E464" i="7"/>
  <c r="D464" i="7"/>
  <c r="C464" i="7"/>
  <c r="B464" i="7"/>
  <c r="A464" i="7"/>
  <c r="F463" i="7"/>
  <c r="E463" i="7"/>
  <c r="D463" i="7"/>
  <c r="C463" i="7"/>
  <c r="B463" i="7"/>
  <c r="A463" i="7"/>
  <c r="F462" i="7"/>
  <c r="E462" i="7"/>
  <c r="D462" i="7"/>
  <c r="C462" i="7"/>
  <c r="B462" i="7"/>
  <c r="A462" i="7"/>
  <c r="F461" i="7"/>
  <c r="E461" i="7"/>
  <c r="D461" i="7"/>
  <c r="C461" i="7"/>
  <c r="B461" i="7"/>
  <c r="A461" i="7"/>
  <c r="F460" i="7"/>
  <c r="E460" i="7"/>
  <c r="D460" i="7"/>
  <c r="C460" i="7"/>
  <c r="B460" i="7"/>
  <c r="A460" i="7"/>
  <c r="F459" i="7"/>
  <c r="E459" i="7"/>
  <c r="D459" i="7"/>
  <c r="C459" i="7"/>
  <c r="B459" i="7"/>
  <c r="A459" i="7"/>
  <c r="F458" i="7"/>
  <c r="E458" i="7"/>
  <c r="D458" i="7"/>
  <c r="C458" i="7"/>
  <c r="B458" i="7"/>
  <c r="A458" i="7"/>
  <c r="F457" i="7"/>
  <c r="E457" i="7"/>
  <c r="D457" i="7"/>
  <c r="C457" i="7"/>
  <c r="B457" i="7"/>
  <c r="A457" i="7"/>
  <c r="F456" i="7"/>
  <c r="E456" i="7"/>
  <c r="D456" i="7"/>
  <c r="C456" i="7"/>
  <c r="B456" i="7"/>
  <c r="A456" i="7"/>
  <c r="F455" i="7"/>
  <c r="E455" i="7"/>
  <c r="D455" i="7"/>
  <c r="C455" i="7"/>
  <c r="B455" i="7"/>
  <c r="A455" i="7"/>
  <c r="F454" i="7"/>
  <c r="E454" i="7"/>
  <c r="D454" i="7"/>
  <c r="C454" i="7"/>
  <c r="B454" i="7"/>
  <c r="A454" i="7"/>
  <c r="F453" i="7"/>
  <c r="E453" i="7"/>
  <c r="D453" i="7"/>
  <c r="C453" i="7"/>
  <c r="B453" i="7"/>
  <c r="A453" i="7"/>
  <c r="F452" i="7"/>
  <c r="E452" i="7"/>
  <c r="D452" i="7"/>
  <c r="C452" i="7"/>
  <c r="B452" i="7"/>
  <c r="A452" i="7"/>
  <c r="F451" i="7"/>
  <c r="E451" i="7"/>
  <c r="D451" i="7"/>
  <c r="C451" i="7"/>
  <c r="B451" i="7"/>
  <c r="A451" i="7"/>
  <c r="F450" i="7"/>
  <c r="E450" i="7"/>
  <c r="D450" i="7"/>
  <c r="C450" i="7"/>
  <c r="B450" i="7"/>
  <c r="A450" i="7"/>
  <c r="F449" i="7"/>
  <c r="E449" i="7"/>
  <c r="D449" i="7"/>
  <c r="C449" i="7"/>
  <c r="B449" i="7"/>
  <c r="A449" i="7"/>
  <c r="F448" i="7"/>
  <c r="E448" i="7"/>
  <c r="D448" i="7"/>
  <c r="C448" i="7"/>
  <c r="B448" i="7"/>
  <c r="A448" i="7"/>
  <c r="F447" i="7"/>
  <c r="E447" i="7"/>
  <c r="D447" i="7"/>
  <c r="C447" i="7"/>
  <c r="B447" i="7"/>
  <c r="A447" i="7"/>
  <c r="F446" i="7"/>
  <c r="E446" i="7"/>
  <c r="D446" i="7"/>
  <c r="C446" i="7"/>
  <c r="B446" i="7"/>
  <c r="A446" i="7"/>
  <c r="F445" i="7"/>
  <c r="E445" i="7"/>
  <c r="D445" i="7"/>
  <c r="C445" i="7"/>
  <c r="B445" i="7"/>
  <c r="A445" i="7"/>
  <c r="F444" i="7"/>
  <c r="E444" i="7"/>
  <c r="D444" i="7"/>
  <c r="C444" i="7"/>
  <c r="B444" i="7"/>
  <c r="A444" i="7"/>
  <c r="F443" i="7"/>
  <c r="E443" i="7"/>
  <c r="D443" i="7"/>
  <c r="C443" i="7"/>
  <c r="B443" i="7"/>
  <c r="A443" i="7"/>
  <c r="F442" i="7"/>
  <c r="E442" i="7"/>
  <c r="D442" i="7"/>
  <c r="C442" i="7"/>
  <c r="B442" i="7"/>
  <c r="A442" i="7"/>
  <c r="F441" i="7"/>
  <c r="E441" i="7"/>
  <c r="D441" i="7"/>
  <c r="C441" i="7"/>
  <c r="B441" i="7"/>
  <c r="A441" i="7"/>
  <c r="F440" i="7"/>
  <c r="E440" i="7"/>
  <c r="D440" i="7"/>
  <c r="C440" i="7"/>
  <c r="B440" i="7"/>
  <c r="A440" i="7"/>
  <c r="F439" i="7"/>
  <c r="E439" i="7"/>
  <c r="D439" i="7"/>
  <c r="C439" i="7"/>
  <c r="B439" i="7"/>
  <c r="A439" i="7"/>
  <c r="F438" i="7"/>
  <c r="E438" i="7"/>
  <c r="D438" i="7"/>
  <c r="C438" i="7"/>
  <c r="B438" i="7"/>
  <c r="A438" i="7"/>
  <c r="F437" i="7"/>
  <c r="E437" i="7"/>
  <c r="D437" i="7"/>
  <c r="C437" i="7"/>
  <c r="B437" i="7"/>
  <c r="A437" i="7"/>
  <c r="F436" i="7"/>
  <c r="E436" i="7"/>
  <c r="D436" i="7"/>
  <c r="C436" i="7"/>
  <c r="B436" i="7"/>
  <c r="A436" i="7"/>
  <c r="F435" i="7"/>
  <c r="E435" i="7"/>
  <c r="D435" i="7"/>
  <c r="C435" i="7"/>
  <c r="B435" i="7"/>
  <c r="A435" i="7"/>
  <c r="F434" i="7"/>
  <c r="E434" i="7"/>
  <c r="D434" i="7"/>
  <c r="C434" i="7"/>
  <c r="B434" i="7"/>
  <c r="A434" i="7"/>
  <c r="F433" i="7"/>
  <c r="E433" i="7"/>
  <c r="D433" i="7"/>
  <c r="C433" i="7"/>
  <c r="B433" i="7"/>
  <c r="A433" i="7"/>
  <c r="F432" i="7"/>
  <c r="E432" i="7"/>
  <c r="D432" i="7"/>
  <c r="C432" i="7"/>
  <c r="B432" i="7"/>
  <c r="A432" i="7"/>
  <c r="F431" i="7"/>
  <c r="E431" i="7"/>
  <c r="D431" i="7"/>
  <c r="C431" i="7"/>
  <c r="B431" i="7"/>
  <c r="A431" i="7"/>
  <c r="F430" i="7"/>
  <c r="E430" i="7"/>
  <c r="D430" i="7"/>
  <c r="C430" i="7"/>
  <c r="B430" i="7"/>
  <c r="A430" i="7"/>
  <c r="F429" i="7"/>
  <c r="E429" i="7"/>
  <c r="D429" i="7"/>
  <c r="C429" i="7"/>
  <c r="B429" i="7"/>
  <c r="A429" i="7"/>
  <c r="F428" i="7"/>
  <c r="E428" i="7"/>
  <c r="D428" i="7"/>
  <c r="C428" i="7"/>
  <c r="B428" i="7"/>
  <c r="A428" i="7"/>
  <c r="F427" i="7"/>
  <c r="E427" i="7"/>
  <c r="D427" i="7"/>
  <c r="C427" i="7"/>
  <c r="B427" i="7"/>
  <c r="A427" i="7"/>
  <c r="F426" i="7"/>
  <c r="E426" i="7"/>
  <c r="D426" i="7"/>
  <c r="C426" i="7"/>
  <c r="B426" i="7"/>
  <c r="A426" i="7"/>
  <c r="F425" i="7"/>
  <c r="E425" i="7"/>
  <c r="D425" i="7"/>
  <c r="C425" i="7"/>
  <c r="B425" i="7"/>
  <c r="A425" i="7"/>
  <c r="F424" i="7"/>
  <c r="E424" i="7"/>
  <c r="D424" i="7"/>
  <c r="C424" i="7"/>
  <c r="B424" i="7"/>
  <c r="A424" i="7"/>
  <c r="F423" i="7"/>
  <c r="E423" i="7"/>
  <c r="D423" i="7"/>
  <c r="C423" i="7"/>
  <c r="B423" i="7"/>
  <c r="A423" i="7"/>
  <c r="F422" i="7"/>
  <c r="E422" i="7"/>
  <c r="D422" i="7"/>
  <c r="C422" i="7"/>
  <c r="B422" i="7"/>
  <c r="A422" i="7"/>
  <c r="F421" i="7"/>
  <c r="E421" i="7"/>
  <c r="D421" i="7"/>
  <c r="C421" i="7"/>
  <c r="B421" i="7"/>
  <c r="A421" i="7"/>
  <c r="F420" i="7"/>
  <c r="E420" i="7"/>
  <c r="D420" i="7"/>
  <c r="C420" i="7"/>
  <c r="B420" i="7"/>
  <c r="A420" i="7"/>
  <c r="F419" i="7"/>
  <c r="E419" i="7"/>
  <c r="D419" i="7"/>
  <c r="C419" i="7"/>
  <c r="B419" i="7"/>
  <c r="A419" i="7"/>
  <c r="F418" i="7"/>
  <c r="E418" i="7"/>
  <c r="D418" i="7"/>
  <c r="C418" i="7"/>
  <c r="B418" i="7"/>
  <c r="A418" i="7"/>
  <c r="F417" i="7"/>
  <c r="E417" i="7"/>
  <c r="D417" i="7"/>
  <c r="C417" i="7"/>
  <c r="B417" i="7"/>
  <c r="A417" i="7"/>
  <c r="F416" i="7"/>
  <c r="E416" i="7"/>
  <c r="D416" i="7"/>
  <c r="C416" i="7"/>
  <c r="B416" i="7"/>
  <c r="A416" i="7"/>
  <c r="F415" i="7"/>
  <c r="E415" i="7"/>
  <c r="D415" i="7"/>
  <c r="C415" i="7"/>
  <c r="B415" i="7"/>
  <c r="A415" i="7"/>
  <c r="F414" i="7"/>
  <c r="E414" i="7"/>
  <c r="D414" i="7"/>
  <c r="C414" i="7"/>
  <c r="B414" i="7"/>
  <c r="A414" i="7"/>
  <c r="F413" i="7"/>
  <c r="E413" i="7"/>
  <c r="D413" i="7"/>
  <c r="C413" i="7"/>
  <c r="B413" i="7"/>
  <c r="A413" i="7"/>
  <c r="F412" i="7"/>
  <c r="E412" i="7"/>
  <c r="D412" i="7"/>
  <c r="C412" i="7"/>
  <c r="B412" i="7"/>
  <c r="A412" i="7"/>
  <c r="F411" i="7"/>
  <c r="E411" i="7"/>
  <c r="D411" i="7"/>
  <c r="C411" i="7"/>
  <c r="B411" i="7"/>
  <c r="A411" i="7"/>
  <c r="F410" i="7"/>
  <c r="E410" i="7"/>
  <c r="D410" i="7"/>
  <c r="C410" i="7"/>
  <c r="B410" i="7"/>
  <c r="A410" i="7"/>
  <c r="F409" i="7"/>
  <c r="E409" i="7"/>
  <c r="D409" i="7"/>
  <c r="C409" i="7"/>
  <c r="B409" i="7"/>
  <c r="A409" i="7"/>
  <c r="F408" i="7"/>
  <c r="E408" i="7"/>
  <c r="D408" i="7"/>
  <c r="C408" i="7"/>
  <c r="B408" i="7"/>
  <c r="A408" i="7"/>
  <c r="F407" i="7"/>
  <c r="E407" i="7"/>
  <c r="D407" i="7"/>
  <c r="C407" i="7"/>
  <c r="B407" i="7"/>
  <c r="A407" i="7"/>
  <c r="F406" i="7"/>
  <c r="E406" i="7"/>
  <c r="D406" i="7"/>
  <c r="C406" i="7"/>
  <c r="B406" i="7"/>
  <c r="A406" i="7"/>
  <c r="F405" i="7"/>
  <c r="E405" i="7"/>
  <c r="D405" i="7"/>
  <c r="C405" i="7"/>
  <c r="B405" i="7"/>
  <c r="A405" i="7"/>
  <c r="F404" i="7"/>
  <c r="E404" i="7"/>
  <c r="D404" i="7"/>
  <c r="C404" i="7"/>
  <c r="B404" i="7"/>
  <c r="A404" i="7"/>
  <c r="F403" i="7"/>
  <c r="E403" i="7"/>
  <c r="D403" i="7"/>
  <c r="C403" i="7"/>
  <c r="B403" i="7"/>
  <c r="A403" i="7"/>
  <c r="F402" i="7"/>
  <c r="E402" i="7"/>
  <c r="D402" i="7"/>
  <c r="C402" i="7"/>
  <c r="F401" i="7"/>
  <c r="E401" i="7"/>
  <c r="D401" i="7"/>
  <c r="C401" i="7"/>
  <c r="B401" i="7"/>
  <c r="A401" i="7"/>
  <c r="F400" i="7"/>
  <c r="E400" i="7"/>
  <c r="D400" i="7"/>
  <c r="C400" i="7"/>
  <c r="B400" i="7"/>
  <c r="A400" i="7"/>
  <c r="F399" i="7"/>
  <c r="E399" i="7"/>
  <c r="D399" i="7"/>
  <c r="C399" i="7"/>
  <c r="B399" i="7"/>
  <c r="A399" i="7"/>
  <c r="F398" i="7"/>
  <c r="E398" i="7"/>
  <c r="D398" i="7"/>
  <c r="C398" i="7"/>
  <c r="B398" i="7"/>
  <c r="A398" i="7"/>
  <c r="F397" i="7"/>
  <c r="E397" i="7"/>
  <c r="D397" i="7"/>
  <c r="C397" i="7"/>
  <c r="B397" i="7"/>
  <c r="A397" i="7"/>
  <c r="F396" i="7"/>
  <c r="E396" i="7"/>
  <c r="D396" i="7"/>
  <c r="C396" i="7"/>
  <c r="B396" i="7"/>
  <c r="A396" i="7"/>
  <c r="F395" i="7"/>
  <c r="E395" i="7"/>
  <c r="D395" i="7"/>
  <c r="C395" i="7"/>
  <c r="B395" i="7"/>
  <c r="A395" i="7"/>
  <c r="F394" i="7"/>
  <c r="E394" i="7"/>
  <c r="D394" i="7"/>
  <c r="C394" i="7"/>
  <c r="B394" i="7"/>
  <c r="A394" i="7"/>
  <c r="F393" i="7"/>
  <c r="E393" i="7"/>
  <c r="D393" i="7"/>
  <c r="C393" i="7"/>
  <c r="B393" i="7"/>
  <c r="A393" i="7"/>
  <c r="F392" i="7"/>
  <c r="E392" i="7"/>
  <c r="D392" i="7"/>
  <c r="C392" i="7"/>
  <c r="B392" i="7"/>
  <c r="A392" i="7"/>
  <c r="F391" i="7"/>
  <c r="E391" i="7"/>
  <c r="D391" i="7"/>
  <c r="C391" i="7"/>
  <c r="B391" i="7"/>
  <c r="A391" i="7"/>
  <c r="F390" i="7"/>
  <c r="E390" i="7"/>
  <c r="D390" i="7"/>
  <c r="C390" i="7"/>
  <c r="B390" i="7"/>
  <c r="A390" i="7"/>
  <c r="F389" i="7"/>
  <c r="E389" i="7"/>
  <c r="D389" i="7"/>
  <c r="C389" i="7"/>
  <c r="B389" i="7"/>
  <c r="A389" i="7"/>
  <c r="F388" i="7"/>
  <c r="E388" i="7"/>
  <c r="D388" i="7"/>
  <c r="C388" i="7"/>
  <c r="B388" i="7"/>
  <c r="A388" i="7"/>
  <c r="F387" i="7"/>
  <c r="E387" i="7"/>
  <c r="D387" i="7"/>
  <c r="C387" i="7"/>
  <c r="B387" i="7"/>
  <c r="A387" i="7"/>
  <c r="F386" i="7"/>
  <c r="E386" i="7"/>
  <c r="D386" i="7"/>
  <c r="C386" i="7"/>
  <c r="B386" i="7"/>
  <c r="A386" i="7"/>
  <c r="F385" i="7"/>
  <c r="E385" i="7"/>
  <c r="D385" i="7"/>
  <c r="C385" i="7"/>
  <c r="B385" i="7"/>
  <c r="A385" i="7"/>
  <c r="F384" i="7"/>
  <c r="E384" i="7"/>
  <c r="D384" i="7"/>
  <c r="C384" i="7"/>
  <c r="B384" i="7"/>
  <c r="A384" i="7"/>
  <c r="F383" i="7"/>
  <c r="E383" i="7"/>
  <c r="D383" i="7"/>
  <c r="C383" i="7"/>
  <c r="B383" i="7"/>
  <c r="A383" i="7"/>
  <c r="F382" i="7"/>
  <c r="E382" i="7"/>
  <c r="D382" i="7"/>
  <c r="C382" i="7"/>
  <c r="B382" i="7"/>
  <c r="A382" i="7"/>
  <c r="F381" i="7"/>
  <c r="E381" i="7"/>
  <c r="D381" i="7"/>
  <c r="C381" i="7"/>
  <c r="B381" i="7"/>
  <c r="A381" i="7"/>
  <c r="F380" i="7"/>
  <c r="E380" i="7"/>
  <c r="D380" i="7"/>
  <c r="C380" i="7"/>
  <c r="B380" i="7"/>
  <c r="A380" i="7"/>
  <c r="F379" i="7"/>
  <c r="E379" i="7"/>
  <c r="D379" i="7"/>
  <c r="C379" i="7"/>
  <c r="B379" i="7"/>
  <c r="A379" i="7"/>
  <c r="F378" i="7"/>
  <c r="E378" i="7"/>
  <c r="D378" i="7"/>
  <c r="C378" i="7"/>
  <c r="B378" i="7"/>
  <c r="A378" i="7"/>
  <c r="F377" i="7"/>
  <c r="E377" i="7"/>
  <c r="D377" i="7"/>
  <c r="C377" i="7"/>
  <c r="B377" i="7"/>
  <c r="A377" i="7"/>
  <c r="F376" i="7"/>
  <c r="E376" i="7"/>
  <c r="D376" i="7"/>
  <c r="C376" i="7"/>
  <c r="B376" i="7"/>
  <c r="A376" i="7"/>
  <c r="F375" i="7"/>
  <c r="E375" i="7"/>
  <c r="D375" i="7"/>
  <c r="C375" i="7"/>
  <c r="B375" i="7"/>
  <c r="A375" i="7"/>
  <c r="F374" i="7"/>
  <c r="E374" i="7"/>
  <c r="D374" i="7"/>
  <c r="C374" i="7"/>
  <c r="B374" i="7"/>
  <c r="A374" i="7"/>
  <c r="F373" i="7"/>
  <c r="E373" i="7"/>
  <c r="D373" i="7"/>
  <c r="C373" i="7"/>
  <c r="B373" i="7"/>
  <c r="A373" i="7"/>
  <c r="F372" i="7"/>
  <c r="E372" i="7"/>
  <c r="D372" i="7"/>
  <c r="C372" i="7"/>
  <c r="B372" i="7"/>
  <c r="A372" i="7"/>
  <c r="F371" i="7"/>
  <c r="E371" i="7"/>
  <c r="D371" i="7"/>
  <c r="C371" i="7"/>
  <c r="B371" i="7"/>
  <c r="A371" i="7"/>
  <c r="F370" i="7"/>
  <c r="E370" i="7"/>
  <c r="D370" i="7"/>
  <c r="C370" i="7"/>
  <c r="B370" i="7"/>
  <c r="A370" i="7"/>
  <c r="F369" i="7"/>
  <c r="E369" i="7"/>
  <c r="D369" i="7"/>
  <c r="C369" i="7"/>
  <c r="B369" i="7"/>
  <c r="A369" i="7"/>
  <c r="F368" i="7"/>
  <c r="E368" i="7"/>
  <c r="D368" i="7"/>
  <c r="C368" i="7"/>
  <c r="B368" i="7"/>
  <c r="A368" i="7"/>
  <c r="F367" i="7"/>
  <c r="E367" i="7"/>
  <c r="D367" i="7"/>
  <c r="C367" i="7"/>
  <c r="B367" i="7"/>
  <c r="A367" i="7"/>
  <c r="F366" i="7"/>
  <c r="E366" i="7"/>
  <c r="D366" i="7"/>
  <c r="C366" i="7"/>
  <c r="B366" i="7"/>
  <c r="A366" i="7"/>
  <c r="F365" i="7"/>
  <c r="E365" i="7"/>
  <c r="D365" i="7"/>
  <c r="C365" i="7"/>
  <c r="B365" i="7"/>
  <c r="A365" i="7"/>
  <c r="F364" i="7"/>
  <c r="E364" i="7"/>
  <c r="D364" i="7"/>
  <c r="C364" i="7"/>
  <c r="B364" i="7"/>
  <c r="A364" i="7"/>
  <c r="F363" i="7"/>
  <c r="E363" i="7"/>
  <c r="D363" i="7"/>
  <c r="C363" i="7"/>
  <c r="B363" i="7"/>
  <c r="A363" i="7"/>
  <c r="F362" i="7"/>
  <c r="E362" i="7"/>
  <c r="D362" i="7"/>
  <c r="C362" i="7"/>
  <c r="B362" i="7"/>
  <c r="A362" i="7"/>
  <c r="F361" i="7"/>
  <c r="E361" i="7"/>
  <c r="D361" i="7"/>
  <c r="C361" i="7"/>
  <c r="B361" i="7"/>
  <c r="A361" i="7"/>
  <c r="F360" i="7"/>
  <c r="E360" i="7"/>
  <c r="D360" i="7"/>
  <c r="C360" i="7"/>
  <c r="B360" i="7"/>
  <c r="A360" i="7"/>
  <c r="F359" i="7"/>
  <c r="E359" i="7"/>
  <c r="D359" i="7"/>
  <c r="C359" i="7"/>
  <c r="B359" i="7"/>
  <c r="A359" i="7"/>
  <c r="F358" i="7"/>
  <c r="E358" i="7"/>
  <c r="D358" i="7"/>
  <c r="C358" i="7"/>
  <c r="B358" i="7"/>
  <c r="A358" i="7"/>
  <c r="F357" i="7"/>
  <c r="E357" i="7"/>
  <c r="D357" i="7"/>
  <c r="C357" i="7"/>
  <c r="B357" i="7"/>
  <c r="A357" i="7"/>
  <c r="F356" i="7"/>
  <c r="E356" i="7"/>
  <c r="D356" i="7"/>
  <c r="C356" i="7"/>
  <c r="B356" i="7"/>
  <c r="A356" i="7"/>
  <c r="F355" i="7"/>
  <c r="E355" i="7"/>
  <c r="D355" i="7"/>
  <c r="C355" i="7"/>
  <c r="B355" i="7"/>
  <c r="A355" i="7"/>
  <c r="F354" i="7"/>
  <c r="E354" i="7"/>
  <c r="D354" i="7"/>
  <c r="C354" i="7"/>
  <c r="B354" i="7"/>
  <c r="A354" i="7"/>
  <c r="F353" i="7"/>
  <c r="E353" i="7"/>
  <c r="D353" i="7"/>
  <c r="C353" i="7"/>
  <c r="B353" i="7"/>
  <c r="A353" i="7"/>
  <c r="F352" i="7"/>
  <c r="E352" i="7"/>
  <c r="D352" i="7"/>
  <c r="C352" i="7"/>
  <c r="B352" i="7"/>
  <c r="A352" i="7"/>
  <c r="F351" i="7"/>
  <c r="E351" i="7"/>
  <c r="D351" i="7"/>
  <c r="C351" i="7"/>
  <c r="B351" i="7"/>
  <c r="A351" i="7"/>
  <c r="F350" i="7"/>
  <c r="E350" i="7"/>
  <c r="D350" i="7"/>
  <c r="C350" i="7"/>
  <c r="B350" i="7"/>
  <c r="A350" i="7"/>
  <c r="F349" i="7"/>
  <c r="E349" i="7"/>
  <c r="D349" i="7"/>
  <c r="C349" i="7"/>
  <c r="B349" i="7"/>
  <c r="A349" i="7"/>
  <c r="F348" i="7"/>
  <c r="E348" i="7"/>
  <c r="D348" i="7"/>
  <c r="C348" i="7"/>
  <c r="B348" i="7"/>
  <c r="A348" i="7"/>
  <c r="F347" i="7"/>
  <c r="E347" i="7"/>
  <c r="D347" i="7"/>
  <c r="C347" i="7"/>
  <c r="B347" i="7"/>
  <c r="A347" i="7"/>
  <c r="F346" i="7"/>
  <c r="E346" i="7"/>
  <c r="D346" i="7"/>
  <c r="C346" i="7"/>
  <c r="B346" i="7"/>
  <c r="A346" i="7"/>
  <c r="F345" i="7"/>
  <c r="E345" i="7"/>
  <c r="D345" i="7"/>
  <c r="C345" i="7"/>
  <c r="B345" i="7"/>
  <c r="A345" i="7"/>
  <c r="F344" i="7"/>
  <c r="E344" i="7"/>
  <c r="D344" i="7"/>
  <c r="C344" i="7"/>
  <c r="B344" i="7"/>
  <c r="A344" i="7"/>
  <c r="F343" i="7"/>
  <c r="E343" i="7"/>
  <c r="D343" i="7"/>
  <c r="C343" i="7"/>
  <c r="B343" i="7"/>
  <c r="A343" i="7"/>
  <c r="F342" i="7"/>
  <c r="E342" i="7"/>
  <c r="D342" i="7"/>
  <c r="C342" i="7"/>
  <c r="B342" i="7"/>
  <c r="A342" i="7"/>
  <c r="F341" i="7"/>
  <c r="E341" i="7"/>
  <c r="D341" i="7"/>
  <c r="C341" i="7"/>
  <c r="B341" i="7"/>
  <c r="A341" i="7"/>
  <c r="F340" i="7"/>
  <c r="E340" i="7"/>
  <c r="D340" i="7"/>
  <c r="C340" i="7"/>
  <c r="B340" i="7"/>
  <c r="A340" i="7"/>
  <c r="F339" i="7"/>
  <c r="E339" i="7"/>
  <c r="D339" i="7"/>
  <c r="C339" i="7"/>
  <c r="B339" i="7"/>
  <c r="A339" i="7"/>
  <c r="F338" i="7"/>
  <c r="E338" i="7"/>
  <c r="D338" i="7"/>
  <c r="C338" i="7"/>
  <c r="B338" i="7"/>
  <c r="A338" i="7"/>
  <c r="F337" i="7"/>
  <c r="E337" i="7"/>
  <c r="D337" i="7"/>
  <c r="C337" i="7"/>
  <c r="B337" i="7"/>
  <c r="A337" i="7"/>
  <c r="F336" i="7"/>
  <c r="E336" i="7"/>
  <c r="D336" i="7"/>
  <c r="C336" i="7"/>
  <c r="B336" i="7"/>
  <c r="A336" i="7"/>
  <c r="F335" i="7"/>
  <c r="E335" i="7"/>
  <c r="D335" i="7"/>
  <c r="C335" i="7"/>
  <c r="B335" i="7"/>
  <c r="A335" i="7"/>
  <c r="F334" i="7"/>
  <c r="E334" i="7"/>
  <c r="D334" i="7"/>
  <c r="C334" i="7"/>
  <c r="B334" i="7"/>
  <c r="A334" i="7"/>
  <c r="F333" i="7"/>
  <c r="E333" i="7"/>
  <c r="D333" i="7"/>
  <c r="C333" i="7"/>
  <c r="B333" i="7"/>
  <c r="A333" i="7"/>
  <c r="F332" i="7"/>
  <c r="E332" i="7"/>
  <c r="D332" i="7"/>
  <c r="C332" i="7"/>
  <c r="B332" i="7"/>
  <c r="A332" i="7"/>
  <c r="F331" i="7"/>
  <c r="E331" i="7"/>
  <c r="D331" i="7"/>
  <c r="C331" i="7"/>
  <c r="B331" i="7"/>
  <c r="A331" i="7"/>
  <c r="F330" i="7"/>
  <c r="E330" i="7"/>
  <c r="D330" i="7"/>
  <c r="C330" i="7"/>
  <c r="B330" i="7"/>
  <c r="A330" i="7"/>
  <c r="F329" i="7"/>
  <c r="E329" i="7"/>
  <c r="D329" i="7"/>
  <c r="C329" i="7"/>
  <c r="B329" i="7"/>
  <c r="A329" i="7"/>
  <c r="F328" i="7"/>
  <c r="E328" i="7"/>
  <c r="D328" i="7"/>
  <c r="C328" i="7"/>
  <c r="B328" i="7"/>
  <c r="A328" i="7"/>
  <c r="F327" i="7"/>
  <c r="E327" i="7"/>
  <c r="D327" i="7"/>
  <c r="C327" i="7"/>
  <c r="B327" i="7"/>
  <c r="A327" i="7"/>
  <c r="F326" i="7"/>
  <c r="E326" i="7"/>
  <c r="D326" i="7"/>
  <c r="C326" i="7"/>
  <c r="B326" i="7"/>
  <c r="A326" i="7"/>
  <c r="F325" i="7"/>
  <c r="E325" i="7"/>
  <c r="D325" i="7"/>
  <c r="C325" i="7"/>
  <c r="B325" i="7"/>
  <c r="A325" i="7"/>
  <c r="F324" i="7"/>
  <c r="E324" i="7"/>
  <c r="D324" i="7"/>
  <c r="C324" i="7"/>
  <c r="B324" i="7"/>
  <c r="A324" i="7"/>
  <c r="F323" i="7"/>
  <c r="E323" i="7"/>
  <c r="D323" i="7"/>
  <c r="C323" i="7"/>
  <c r="B323" i="7"/>
  <c r="A323" i="7"/>
  <c r="F322" i="7"/>
  <c r="E322" i="7"/>
  <c r="D322" i="7"/>
  <c r="C322" i="7"/>
  <c r="B322" i="7"/>
  <c r="A322" i="7"/>
  <c r="F321" i="7"/>
  <c r="E321" i="7"/>
  <c r="D321" i="7"/>
  <c r="C321" i="7"/>
  <c r="B321" i="7"/>
  <c r="A321" i="7"/>
  <c r="F320" i="7"/>
  <c r="E320" i="7"/>
  <c r="D320" i="7"/>
  <c r="C320" i="7"/>
  <c r="B320" i="7"/>
  <c r="A320" i="7"/>
  <c r="F319" i="7"/>
  <c r="E319" i="7"/>
  <c r="D319" i="7"/>
  <c r="C319" i="7"/>
  <c r="B319" i="7"/>
  <c r="A319" i="7"/>
  <c r="F318" i="7"/>
  <c r="E318" i="7"/>
  <c r="D318" i="7"/>
  <c r="C318" i="7"/>
  <c r="B318" i="7"/>
  <c r="A318" i="7"/>
  <c r="F317" i="7"/>
  <c r="E317" i="7"/>
  <c r="D317" i="7"/>
  <c r="C317" i="7"/>
  <c r="B317" i="7"/>
  <c r="A317" i="7"/>
  <c r="F316" i="7"/>
  <c r="E316" i="7"/>
  <c r="D316" i="7"/>
  <c r="C316" i="7"/>
  <c r="B316" i="7"/>
  <c r="A316" i="7"/>
  <c r="F315" i="7"/>
  <c r="E315" i="7"/>
  <c r="D315" i="7"/>
  <c r="C315" i="7"/>
  <c r="B315" i="7"/>
  <c r="A315" i="7"/>
  <c r="F314" i="7"/>
  <c r="E314" i="7"/>
  <c r="D314" i="7"/>
  <c r="C314" i="7"/>
  <c r="B314" i="7"/>
  <c r="A314" i="7"/>
  <c r="F313" i="7"/>
  <c r="E313" i="7"/>
  <c r="D313" i="7"/>
  <c r="C313" i="7"/>
  <c r="B313" i="7"/>
  <c r="A313" i="7"/>
  <c r="F312" i="7"/>
  <c r="E312" i="7"/>
  <c r="D312" i="7"/>
  <c r="C312" i="7"/>
  <c r="B312" i="7"/>
  <c r="A312" i="7"/>
  <c r="F311" i="7"/>
  <c r="E311" i="7"/>
  <c r="D311" i="7"/>
  <c r="C311" i="7"/>
  <c r="B311" i="7"/>
  <c r="A311" i="7"/>
  <c r="F310" i="7"/>
  <c r="E310" i="7"/>
  <c r="D310" i="7"/>
  <c r="C310" i="7"/>
  <c r="B310" i="7"/>
  <c r="A310" i="7"/>
  <c r="F309" i="7"/>
  <c r="E309" i="7"/>
  <c r="D309" i="7"/>
  <c r="C309" i="7"/>
  <c r="B309" i="7"/>
  <c r="A309" i="7"/>
  <c r="F308" i="7"/>
  <c r="E308" i="7"/>
  <c r="D308" i="7"/>
  <c r="C308" i="7"/>
  <c r="B308" i="7"/>
  <c r="A308" i="7"/>
  <c r="F307" i="7"/>
  <c r="E307" i="7"/>
  <c r="D307" i="7"/>
  <c r="C307" i="7"/>
  <c r="B307" i="7"/>
  <c r="A307" i="7"/>
  <c r="F306" i="7"/>
  <c r="E306" i="7"/>
  <c r="D306" i="7"/>
  <c r="C306" i="7"/>
  <c r="B306" i="7"/>
  <c r="A306" i="7"/>
  <c r="F305" i="7"/>
  <c r="E305" i="7"/>
  <c r="D305" i="7"/>
  <c r="C305" i="7"/>
  <c r="B305" i="7"/>
  <c r="A305" i="7"/>
  <c r="F304" i="7"/>
  <c r="E304" i="7"/>
  <c r="D304" i="7"/>
  <c r="C304" i="7"/>
  <c r="B304" i="7"/>
  <c r="A304" i="7"/>
  <c r="F303" i="7"/>
  <c r="E303" i="7"/>
  <c r="D303" i="7"/>
  <c r="C303" i="7"/>
  <c r="B303" i="7"/>
  <c r="A303" i="7"/>
  <c r="F302" i="7"/>
  <c r="E302" i="7"/>
  <c r="D302" i="7"/>
  <c r="C302" i="7"/>
  <c r="B302" i="7"/>
  <c r="A302" i="7"/>
  <c r="F301" i="7"/>
  <c r="E301" i="7"/>
  <c r="D301" i="7"/>
  <c r="C301" i="7"/>
  <c r="B301" i="7"/>
  <c r="A301" i="7"/>
  <c r="F300" i="7"/>
  <c r="E300" i="7"/>
  <c r="D300" i="7"/>
  <c r="C300" i="7"/>
  <c r="B300" i="7"/>
  <c r="A300" i="7"/>
  <c r="F299" i="7"/>
  <c r="E299" i="7"/>
  <c r="D299" i="7"/>
  <c r="C299" i="7"/>
  <c r="B299" i="7"/>
  <c r="A299" i="7"/>
  <c r="F298" i="7"/>
  <c r="E298" i="7"/>
  <c r="D298" i="7"/>
  <c r="C298" i="7"/>
  <c r="B298" i="7"/>
  <c r="A298" i="7"/>
  <c r="F297" i="7"/>
  <c r="E297" i="7"/>
  <c r="D297" i="7"/>
  <c r="C297" i="7"/>
  <c r="B297" i="7"/>
  <c r="A297" i="7"/>
  <c r="F296" i="7"/>
  <c r="E296" i="7"/>
  <c r="D296" i="7"/>
  <c r="C296" i="7"/>
  <c r="B296" i="7"/>
  <c r="A296" i="7"/>
  <c r="F295" i="7"/>
  <c r="E295" i="7"/>
  <c r="D295" i="7"/>
  <c r="C295" i="7"/>
  <c r="B295" i="7"/>
  <c r="A295" i="7"/>
  <c r="F294" i="7"/>
  <c r="E294" i="7"/>
  <c r="D294" i="7"/>
  <c r="C294" i="7"/>
  <c r="B294" i="7"/>
  <c r="A294" i="7"/>
  <c r="F293" i="7"/>
  <c r="E293" i="7"/>
  <c r="D293" i="7"/>
  <c r="C293" i="7"/>
  <c r="B293" i="7"/>
  <c r="A293" i="7"/>
  <c r="F292" i="7"/>
  <c r="E292" i="7"/>
  <c r="D292" i="7"/>
  <c r="C292" i="7"/>
  <c r="B292" i="7"/>
  <c r="A292" i="7"/>
  <c r="F291" i="7"/>
  <c r="E291" i="7"/>
  <c r="D291" i="7"/>
  <c r="C291" i="7"/>
  <c r="B291" i="7"/>
  <c r="A291" i="7"/>
  <c r="F290" i="7"/>
  <c r="E290" i="7"/>
  <c r="D290" i="7"/>
  <c r="C290" i="7"/>
  <c r="B290" i="7"/>
  <c r="A290" i="7"/>
  <c r="F289" i="7"/>
  <c r="E289" i="7"/>
  <c r="D289" i="7"/>
  <c r="C289" i="7"/>
  <c r="B289" i="7"/>
  <c r="A289" i="7"/>
  <c r="F288" i="7"/>
  <c r="E288" i="7"/>
  <c r="D288" i="7"/>
  <c r="C288" i="7"/>
  <c r="B288" i="7"/>
  <c r="A288" i="7"/>
  <c r="F287" i="7"/>
  <c r="E287" i="7"/>
  <c r="D287" i="7"/>
  <c r="C287" i="7"/>
  <c r="F286" i="7"/>
  <c r="E286" i="7"/>
  <c r="D286" i="7"/>
  <c r="C286" i="7"/>
  <c r="B286" i="7"/>
  <c r="A286" i="7"/>
  <c r="F285" i="7"/>
  <c r="E285" i="7"/>
  <c r="D285" i="7"/>
  <c r="C285" i="7"/>
  <c r="B285" i="7"/>
  <c r="A285" i="7"/>
  <c r="F284" i="7"/>
  <c r="E284" i="7"/>
  <c r="D284" i="7"/>
  <c r="C284" i="7"/>
  <c r="B284" i="7"/>
  <c r="A284" i="7"/>
  <c r="F283" i="7"/>
  <c r="E283" i="7"/>
  <c r="D283" i="7"/>
  <c r="C283" i="7"/>
  <c r="B283" i="7"/>
  <c r="A283" i="7"/>
  <c r="F282" i="7"/>
  <c r="E282" i="7"/>
  <c r="D282" i="7"/>
  <c r="C282" i="7"/>
  <c r="B282" i="7"/>
  <c r="A282" i="7"/>
  <c r="F281" i="7"/>
  <c r="E281" i="7"/>
  <c r="D281" i="7"/>
  <c r="C281" i="7"/>
  <c r="B281" i="7"/>
  <c r="A281" i="7"/>
  <c r="F280" i="7"/>
  <c r="E280" i="7"/>
  <c r="D280" i="7"/>
  <c r="C280" i="7"/>
  <c r="B280" i="7"/>
  <c r="A280" i="7"/>
  <c r="F279" i="7"/>
  <c r="E279" i="7"/>
  <c r="D279" i="7"/>
  <c r="C279" i="7"/>
  <c r="B279" i="7"/>
  <c r="A279" i="7"/>
  <c r="F278" i="7"/>
  <c r="E278" i="7"/>
  <c r="D278" i="7"/>
  <c r="C278" i="7"/>
  <c r="B278" i="7"/>
  <c r="A278" i="7"/>
  <c r="F277" i="7"/>
  <c r="E277" i="7"/>
  <c r="D277" i="7"/>
  <c r="C277" i="7"/>
  <c r="B277" i="7"/>
  <c r="A277" i="7"/>
  <c r="F276" i="7"/>
  <c r="E276" i="7"/>
  <c r="D276" i="7"/>
  <c r="C276" i="7"/>
  <c r="B276" i="7"/>
  <c r="A276" i="7"/>
  <c r="F275" i="7"/>
  <c r="E275" i="7"/>
  <c r="D275" i="7"/>
  <c r="C275" i="7"/>
  <c r="B275" i="7"/>
  <c r="A275" i="7"/>
  <c r="F274" i="7"/>
  <c r="E274" i="7"/>
  <c r="D274" i="7"/>
  <c r="C274" i="7"/>
  <c r="B274" i="7"/>
  <c r="A274" i="7"/>
  <c r="F273" i="7"/>
  <c r="E273" i="7"/>
  <c r="D273" i="7"/>
  <c r="C273" i="7"/>
  <c r="B273" i="7"/>
  <c r="A273" i="7"/>
  <c r="F272" i="7"/>
  <c r="E272" i="7"/>
  <c r="D272" i="7"/>
  <c r="C272" i="7"/>
  <c r="B272" i="7"/>
  <c r="A272" i="7"/>
  <c r="F271" i="7"/>
  <c r="E271" i="7"/>
  <c r="D271" i="7"/>
  <c r="C271" i="7"/>
  <c r="B271" i="7"/>
  <c r="A271" i="7"/>
  <c r="F270" i="7"/>
  <c r="E270" i="7"/>
  <c r="D270" i="7"/>
  <c r="C270" i="7"/>
  <c r="B270" i="7"/>
  <c r="A270" i="7"/>
  <c r="F269" i="7"/>
  <c r="E269" i="7"/>
  <c r="D269" i="7"/>
  <c r="C269" i="7"/>
  <c r="B269" i="7"/>
  <c r="A269" i="7"/>
  <c r="F268" i="7"/>
  <c r="E268" i="7"/>
  <c r="D268" i="7"/>
  <c r="C268" i="7"/>
  <c r="B268" i="7"/>
  <c r="A268" i="7"/>
  <c r="F267" i="7"/>
  <c r="E267" i="7"/>
  <c r="D267" i="7"/>
  <c r="C267" i="7"/>
  <c r="B267" i="7"/>
  <c r="A267" i="7"/>
  <c r="F266" i="7"/>
  <c r="E266" i="7"/>
  <c r="D266" i="7"/>
  <c r="C266" i="7"/>
  <c r="B266" i="7"/>
  <c r="A266" i="7"/>
  <c r="F265" i="7"/>
  <c r="E265" i="7"/>
  <c r="D265" i="7"/>
  <c r="C265" i="7"/>
  <c r="B265" i="7"/>
  <c r="A265" i="7"/>
  <c r="F264" i="7"/>
  <c r="E264" i="7"/>
  <c r="D264" i="7"/>
  <c r="C264" i="7"/>
  <c r="B264" i="7"/>
  <c r="A264" i="7"/>
  <c r="F263" i="7"/>
  <c r="E263" i="7"/>
  <c r="D263" i="7"/>
  <c r="C263" i="7"/>
  <c r="B263" i="7"/>
  <c r="A263" i="7"/>
  <c r="F262" i="7"/>
  <c r="E262" i="7"/>
  <c r="D262" i="7"/>
  <c r="C262" i="7"/>
  <c r="B262" i="7"/>
  <c r="A262" i="7"/>
  <c r="F261" i="7"/>
  <c r="E261" i="7"/>
  <c r="D261" i="7"/>
  <c r="C261" i="7"/>
  <c r="B261" i="7"/>
  <c r="A261" i="7"/>
  <c r="F260" i="7"/>
  <c r="E260" i="7"/>
  <c r="D260" i="7"/>
  <c r="C260" i="7"/>
  <c r="B260" i="7"/>
  <c r="A260" i="7"/>
  <c r="F259" i="7"/>
  <c r="E259" i="7"/>
  <c r="D259" i="7"/>
  <c r="C259" i="7"/>
  <c r="B259" i="7"/>
  <c r="A259" i="7"/>
  <c r="F258" i="7"/>
  <c r="E258" i="7"/>
  <c r="D258" i="7"/>
  <c r="C258" i="7"/>
  <c r="B258" i="7"/>
  <c r="A258" i="7"/>
  <c r="F257" i="7"/>
  <c r="E257" i="7"/>
  <c r="D257" i="7"/>
  <c r="C257" i="7"/>
  <c r="B257" i="7"/>
  <c r="A257" i="7"/>
  <c r="F256" i="7"/>
  <c r="E256" i="7"/>
  <c r="D256" i="7"/>
  <c r="C256" i="7"/>
  <c r="B256" i="7"/>
  <c r="A256" i="7"/>
  <c r="F255" i="7"/>
  <c r="E255" i="7"/>
  <c r="D255" i="7"/>
  <c r="C255" i="7"/>
  <c r="B255" i="7"/>
  <c r="A255" i="7"/>
  <c r="F254" i="7"/>
  <c r="E254" i="7"/>
  <c r="D254" i="7"/>
  <c r="C254" i="7"/>
  <c r="B254" i="7"/>
  <c r="A254" i="7"/>
  <c r="F253" i="7"/>
  <c r="E253" i="7"/>
  <c r="D253" i="7"/>
  <c r="C253" i="7"/>
  <c r="B253" i="7"/>
  <c r="A253" i="7"/>
  <c r="F252" i="7"/>
  <c r="E252" i="7"/>
  <c r="D252" i="7"/>
  <c r="C252" i="7"/>
  <c r="B252" i="7"/>
  <c r="A252" i="7"/>
  <c r="F251" i="7"/>
  <c r="E251" i="7"/>
  <c r="D251" i="7"/>
  <c r="C251" i="7"/>
  <c r="B251" i="7"/>
  <c r="A251" i="7"/>
  <c r="F250" i="7"/>
  <c r="E250" i="7"/>
  <c r="D250" i="7"/>
  <c r="C250" i="7"/>
  <c r="B250" i="7"/>
  <c r="A250" i="7"/>
  <c r="F249" i="7"/>
  <c r="E249" i="7"/>
  <c r="D249" i="7"/>
  <c r="C249" i="7"/>
  <c r="B249" i="7"/>
  <c r="A249" i="7"/>
  <c r="F248" i="7"/>
  <c r="E248" i="7"/>
  <c r="D248" i="7"/>
  <c r="C248" i="7"/>
  <c r="B248" i="7"/>
  <c r="A248" i="7"/>
  <c r="F247" i="7"/>
  <c r="E247" i="7"/>
  <c r="D247" i="7"/>
  <c r="C247" i="7"/>
  <c r="B247" i="7"/>
  <c r="A247" i="7"/>
  <c r="F246" i="7"/>
  <c r="E246" i="7"/>
  <c r="D246" i="7"/>
  <c r="C246" i="7"/>
  <c r="B246" i="7"/>
  <c r="A246" i="7"/>
  <c r="F245" i="7"/>
  <c r="E245" i="7"/>
  <c r="D245" i="7"/>
  <c r="C245" i="7"/>
  <c r="B245" i="7"/>
  <c r="A245" i="7"/>
  <c r="F244" i="7"/>
  <c r="E244" i="7"/>
  <c r="D244" i="7"/>
  <c r="C244" i="7"/>
  <c r="B244" i="7"/>
  <c r="A244" i="7"/>
  <c r="F243" i="7"/>
  <c r="E243" i="7"/>
  <c r="D243" i="7"/>
  <c r="C243" i="7"/>
  <c r="B243" i="7"/>
  <c r="A243" i="7"/>
  <c r="F242" i="7"/>
  <c r="E242" i="7"/>
  <c r="D242" i="7"/>
  <c r="C242" i="7"/>
  <c r="B242" i="7"/>
  <c r="A242" i="7"/>
  <c r="F241" i="7"/>
  <c r="E241" i="7"/>
  <c r="D241" i="7"/>
  <c r="C241" i="7"/>
  <c r="B241" i="7"/>
  <c r="A241" i="7"/>
  <c r="F240" i="7"/>
  <c r="E240" i="7"/>
  <c r="D240" i="7"/>
  <c r="C240" i="7"/>
  <c r="B240" i="7"/>
  <c r="A240" i="7"/>
  <c r="F239" i="7"/>
  <c r="E239" i="7"/>
  <c r="D239" i="7"/>
  <c r="C239" i="7"/>
  <c r="B239" i="7"/>
  <c r="A239" i="7"/>
  <c r="F238" i="7"/>
  <c r="E238" i="7"/>
  <c r="D238" i="7"/>
  <c r="C238" i="7"/>
  <c r="B238" i="7"/>
  <c r="A238" i="7"/>
  <c r="F237" i="7"/>
  <c r="E237" i="7"/>
  <c r="D237" i="7"/>
  <c r="C237" i="7"/>
  <c r="B237" i="7"/>
  <c r="A237" i="7"/>
  <c r="F236" i="7"/>
  <c r="E236" i="7"/>
  <c r="D236" i="7"/>
  <c r="C236" i="7"/>
  <c r="B236" i="7"/>
  <c r="A236" i="7"/>
  <c r="F235" i="7"/>
  <c r="E235" i="7"/>
  <c r="D235" i="7"/>
  <c r="C235" i="7"/>
  <c r="B235" i="7"/>
  <c r="A235" i="7"/>
  <c r="F234" i="7"/>
  <c r="E234" i="7"/>
  <c r="D234" i="7"/>
  <c r="C234" i="7"/>
  <c r="B234" i="7"/>
  <c r="A234" i="7"/>
  <c r="F233" i="7"/>
  <c r="E233" i="7"/>
  <c r="D233" i="7"/>
  <c r="C233" i="7"/>
  <c r="B233" i="7"/>
  <c r="A233" i="7"/>
  <c r="F232" i="7"/>
  <c r="E232" i="7"/>
  <c r="D232" i="7"/>
  <c r="C232" i="7"/>
  <c r="B232" i="7"/>
  <c r="A232" i="7"/>
  <c r="F231" i="7"/>
  <c r="E231" i="7"/>
  <c r="D231" i="7"/>
  <c r="C231" i="7"/>
  <c r="B231" i="7"/>
  <c r="A231" i="7"/>
  <c r="F230" i="7"/>
  <c r="E230" i="7"/>
  <c r="D230" i="7"/>
  <c r="C230" i="7"/>
  <c r="B230" i="7"/>
  <c r="A230" i="7"/>
  <c r="F229" i="7"/>
  <c r="E229" i="7"/>
  <c r="D229" i="7"/>
  <c r="C229" i="7"/>
  <c r="B229" i="7"/>
  <c r="A229" i="7"/>
  <c r="F228" i="7"/>
  <c r="E228" i="7"/>
  <c r="D228" i="7"/>
  <c r="C228" i="7"/>
  <c r="B228" i="7"/>
  <c r="A228" i="7"/>
  <c r="F227" i="7"/>
  <c r="E227" i="7"/>
  <c r="D227" i="7"/>
  <c r="C227" i="7"/>
  <c r="B227" i="7"/>
  <c r="A227" i="7"/>
  <c r="F226" i="7"/>
  <c r="E226" i="7"/>
  <c r="D226" i="7"/>
  <c r="C226" i="7"/>
  <c r="B226" i="7"/>
  <c r="A226" i="7"/>
  <c r="F225" i="7"/>
  <c r="E225" i="7"/>
  <c r="D225" i="7"/>
  <c r="C225" i="7"/>
  <c r="B225" i="7"/>
  <c r="A225" i="7"/>
  <c r="F224" i="7"/>
  <c r="E224" i="7"/>
  <c r="D224" i="7"/>
  <c r="C224" i="7"/>
  <c r="B224" i="7"/>
  <c r="A224" i="7"/>
  <c r="F223" i="7"/>
  <c r="E223" i="7"/>
  <c r="D223" i="7"/>
  <c r="C223" i="7"/>
  <c r="B223" i="7"/>
  <c r="A223" i="7"/>
  <c r="F222" i="7"/>
  <c r="E222" i="7"/>
  <c r="D222" i="7"/>
  <c r="C222" i="7"/>
  <c r="B222" i="7"/>
  <c r="A222" i="7"/>
  <c r="F221" i="7"/>
  <c r="E221" i="7"/>
  <c r="D221" i="7"/>
  <c r="C221" i="7"/>
  <c r="B221" i="7"/>
  <c r="A221" i="7"/>
  <c r="F220" i="7"/>
  <c r="E220" i="7"/>
  <c r="D220" i="7"/>
  <c r="C220" i="7"/>
  <c r="B220" i="7"/>
  <c r="A220" i="7"/>
  <c r="F219" i="7"/>
  <c r="E219" i="7"/>
  <c r="D219" i="7"/>
  <c r="C219" i="7"/>
  <c r="B219" i="7"/>
  <c r="A219" i="7"/>
  <c r="F218" i="7"/>
  <c r="E218" i="7"/>
  <c r="D218" i="7"/>
  <c r="C218" i="7"/>
  <c r="B218" i="7"/>
  <c r="A218" i="7"/>
  <c r="F217" i="7"/>
  <c r="E217" i="7"/>
  <c r="D217" i="7"/>
  <c r="C217" i="7"/>
  <c r="B217" i="7"/>
  <c r="A217" i="7"/>
  <c r="F216" i="7"/>
  <c r="E216" i="7"/>
  <c r="D216" i="7"/>
  <c r="C216" i="7"/>
  <c r="B216" i="7"/>
  <c r="A216" i="7"/>
  <c r="F215" i="7"/>
  <c r="E215" i="7"/>
  <c r="D215" i="7"/>
  <c r="C215" i="7"/>
  <c r="B215" i="7"/>
  <c r="A215" i="7"/>
  <c r="F214" i="7"/>
  <c r="E214" i="7"/>
  <c r="D214" i="7"/>
  <c r="C214" i="7"/>
  <c r="B214" i="7"/>
  <c r="A214" i="7"/>
  <c r="F213" i="7"/>
  <c r="E213" i="7"/>
  <c r="D213" i="7"/>
  <c r="C213" i="7"/>
  <c r="B213" i="7"/>
  <c r="A213" i="7"/>
  <c r="F212" i="7"/>
  <c r="E212" i="7"/>
  <c r="D212" i="7"/>
  <c r="C212" i="7"/>
  <c r="B212" i="7"/>
  <c r="A212" i="7"/>
  <c r="F211" i="7"/>
  <c r="E211" i="7"/>
  <c r="D211" i="7"/>
  <c r="C211" i="7"/>
  <c r="B211" i="7"/>
  <c r="A211" i="7"/>
  <c r="F210" i="7"/>
  <c r="E210" i="7"/>
  <c r="D210" i="7"/>
  <c r="C210" i="7"/>
  <c r="B210" i="7"/>
  <c r="A210" i="7"/>
  <c r="F209" i="7"/>
  <c r="E209" i="7"/>
  <c r="D209" i="7"/>
  <c r="C209" i="7"/>
  <c r="B209" i="7"/>
  <c r="A209" i="7"/>
  <c r="F208" i="7"/>
  <c r="E208" i="7"/>
  <c r="D208" i="7"/>
  <c r="C208" i="7"/>
  <c r="B208" i="7"/>
  <c r="A208" i="7"/>
  <c r="F207" i="7"/>
  <c r="E207" i="7"/>
  <c r="D207" i="7"/>
  <c r="C207" i="7"/>
  <c r="B207" i="7"/>
  <c r="A207" i="7"/>
  <c r="F206" i="7"/>
  <c r="E206" i="7"/>
  <c r="D206" i="7"/>
  <c r="C206" i="7"/>
  <c r="B206" i="7"/>
  <c r="A206" i="7"/>
  <c r="F205" i="7"/>
  <c r="E205" i="7"/>
  <c r="D205" i="7"/>
  <c r="C205" i="7"/>
  <c r="B205" i="7"/>
  <c r="A205" i="7"/>
  <c r="F204" i="7"/>
  <c r="E204" i="7"/>
  <c r="D204" i="7"/>
  <c r="C204" i="7"/>
  <c r="B204" i="7"/>
  <c r="A204" i="7"/>
  <c r="F203" i="7"/>
  <c r="E203" i="7"/>
  <c r="D203" i="7"/>
  <c r="C203" i="7"/>
  <c r="B203" i="7"/>
  <c r="A203" i="7"/>
  <c r="F202" i="7"/>
  <c r="E202" i="7"/>
  <c r="D202" i="7"/>
  <c r="C202" i="7"/>
  <c r="B202" i="7"/>
  <c r="A202" i="7"/>
  <c r="F201" i="7"/>
  <c r="E201" i="7"/>
  <c r="D201" i="7"/>
  <c r="C201" i="7"/>
  <c r="B201" i="7"/>
  <c r="A201" i="7"/>
  <c r="F200" i="7"/>
  <c r="E200" i="7"/>
  <c r="D200" i="7"/>
  <c r="C200" i="7"/>
  <c r="B200" i="7"/>
  <c r="A200" i="7"/>
  <c r="F199" i="7"/>
  <c r="E199" i="7"/>
  <c r="D199" i="7"/>
  <c r="C199" i="7"/>
  <c r="B199" i="7"/>
  <c r="A199" i="7"/>
  <c r="F198" i="7"/>
  <c r="E198" i="7"/>
  <c r="D198" i="7"/>
  <c r="C198" i="7"/>
  <c r="B198" i="7"/>
  <c r="A198" i="7"/>
  <c r="F197" i="7"/>
  <c r="E197" i="7"/>
  <c r="D197" i="7"/>
  <c r="C197" i="7"/>
  <c r="B197" i="7"/>
  <c r="A197" i="7"/>
  <c r="F196" i="7"/>
  <c r="E196" i="7"/>
  <c r="D196" i="7"/>
  <c r="C196" i="7"/>
  <c r="B196" i="7"/>
  <c r="A196" i="7"/>
  <c r="F195" i="7"/>
  <c r="E195" i="7"/>
  <c r="D195" i="7"/>
  <c r="C195" i="7"/>
  <c r="B195" i="7"/>
  <c r="A195" i="7"/>
  <c r="F194" i="7"/>
  <c r="E194" i="7"/>
  <c r="D194" i="7"/>
  <c r="C194" i="7"/>
  <c r="B194" i="7"/>
  <c r="A194" i="7"/>
  <c r="F193" i="7"/>
  <c r="E193" i="7"/>
  <c r="D193" i="7"/>
  <c r="C193" i="7"/>
  <c r="B193" i="7"/>
  <c r="A193" i="7"/>
  <c r="F192" i="7"/>
  <c r="E192" i="7"/>
  <c r="D192" i="7"/>
  <c r="C192" i="7"/>
  <c r="B192" i="7"/>
  <c r="A192" i="7"/>
  <c r="F191" i="7"/>
  <c r="E191" i="7"/>
  <c r="D191" i="7"/>
  <c r="C191" i="7"/>
  <c r="B191" i="7"/>
  <c r="A191" i="7"/>
  <c r="F190" i="7"/>
  <c r="E190" i="7"/>
  <c r="D190" i="7"/>
  <c r="C190" i="7"/>
  <c r="B190" i="7"/>
  <c r="A190" i="7"/>
  <c r="F189" i="7"/>
  <c r="E189" i="7"/>
  <c r="D189" i="7"/>
  <c r="C189" i="7"/>
  <c r="B189" i="7"/>
  <c r="A189" i="7"/>
  <c r="F188" i="7"/>
  <c r="E188" i="7"/>
  <c r="D188" i="7"/>
  <c r="C188" i="7"/>
  <c r="B188" i="7"/>
  <c r="A188" i="7"/>
  <c r="F187" i="7"/>
  <c r="E187" i="7"/>
  <c r="D187" i="7"/>
  <c r="C187" i="7"/>
  <c r="B187" i="7"/>
  <c r="A187" i="7"/>
  <c r="F186" i="7"/>
  <c r="E186" i="7"/>
  <c r="D186" i="7"/>
  <c r="C186" i="7"/>
  <c r="B186" i="7"/>
  <c r="A186" i="7"/>
  <c r="F185" i="7"/>
  <c r="E185" i="7"/>
  <c r="D185" i="7"/>
  <c r="C185" i="7"/>
  <c r="B185" i="7"/>
  <c r="A185" i="7"/>
  <c r="F184" i="7"/>
  <c r="E184" i="7"/>
  <c r="D184" i="7"/>
  <c r="C184" i="7"/>
  <c r="B184" i="7"/>
  <c r="A184" i="7"/>
  <c r="F183" i="7"/>
  <c r="E183" i="7"/>
  <c r="D183" i="7"/>
  <c r="C183" i="7"/>
  <c r="B183" i="7"/>
  <c r="A183" i="7"/>
  <c r="F182" i="7"/>
  <c r="E182" i="7"/>
  <c r="D182" i="7"/>
  <c r="C182" i="7"/>
  <c r="B182" i="7"/>
  <c r="A182" i="7"/>
  <c r="F181" i="7"/>
  <c r="E181" i="7"/>
  <c r="D181" i="7"/>
  <c r="C181" i="7"/>
  <c r="B181" i="7"/>
  <c r="A181" i="7"/>
  <c r="F180" i="7"/>
  <c r="E180" i="7"/>
  <c r="D180" i="7"/>
  <c r="C180" i="7"/>
  <c r="B180" i="7"/>
  <c r="A180" i="7"/>
  <c r="F179" i="7"/>
  <c r="E179" i="7"/>
  <c r="D179" i="7"/>
  <c r="C179" i="7"/>
  <c r="B179" i="7"/>
  <c r="A179" i="7"/>
  <c r="F178" i="7"/>
  <c r="E178" i="7"/>
  <c r="D178" i="7"/>
  <c r="C178" i="7"/>
  <c r="B178" i="7"/>
  <c r="A178" i="7"/>
  <c r="F177" i="7"/>
  <c r="E177" i="7"/>
  <c r="D177" i="7"/>
  <c r="C177" i="7"/>
  <c r="B177" i="7"/>
  <c r="A177" i="7"/>
  <c r="F176" i="7"/>
  <c r="E176" i="7"/>
  <c r="D176" i="7"/>
  <c r="C176" i="7"/>
  <c r="B176" i="7"/>
  <c r="A176" i="7"/>
  <c r="F175" i="7"/>
  <c r="E175" i="7"/>
  <c r="D175" i="7"/>
  <c r="C175" i="7"/>
  <c r="B175" i="7"/>
  <c r="A175" i="7"/>
  <c r="F174" i="7"/>
  <c r="E174" i="7"/>
  <c r="D174" i="7"/>
  <c r="C174" i="7"/>
  <c r="B174" i="7"/>
  <c r="A174" i="7"/>
  <c r="F173" i="7"/>
  <c r="E173" i="7"/>
  <c r="D173" i="7"/>
  <c r="C173" i="7"/>
  <c r="B173" i="7"/>
  <c r="A173" i="7"/>
  <c r="F172" i="7"/>
  <c r="E172" i="7"/>
  <c r="D172" i="7"/>
  <c r="C172" i="7"/>
  <c r="B172" i="7"/>
  <c r="A172" i="7"/>
  <c r="F171" i="7"/>
  <c r="E171" i="7"/>
  <c r="D171" i="7"/>
  <c r="C171" i="7"/>
  <c r="B171" i="7"/>
  <c r="A171" i="7"/>
  <c r="F170" i="7"/>
  <c r="E170" i="7"/>
  <c r="D170" i="7"/>
  <c r="C170" i="7"/>
  <c r="B170" i="7"/>
  <c r="A170" i="7"/>
  <c r="F169" i="7"/>
  <c r="E169" i="7"/>
  <c r="D169" i="7"/>
  <c r="C169" i="7"/>
  <c r="B169" i="7"/>
  <c r="A169" i="7"/>
  <c r="F168" i="7"/>
  <c r="E168" i="7"/>
  <c r="D168" i="7"/>
  <c r="C168" i="7"/>
  <c r="B168" i="7"/>
  <c r="A168" i="7"/>
  <c r="F167" i="7"/>
  <c r="E167" i="7"/>
  <c r="D167" i="7"/>
  <c r="C167" i="7"/>
  <c r="B167" i="7"/>
  <c r="A167" i="7"/>
  <c r="F166" i="7"/>
  <c r="E166" i="7"/>
  <c r="D166" i="7"/>
  <c r="C166" i="7"/>
  <c r="B166" i="7"/>
  <c r="A166" i="7"/>
  <c r="F165" i="7"/>
  <c r="E165" i="7"/>
  <c r="D165" i="7"/>
  <c r="C165" i="7"/>
  <c r="B165" i="7"/>
  <c r="A165" i="7"/>
  <c r="F164" i="7"/>
  <c r="E164" i="7"/>
  <c r="D164" i="7"/>
  <c r="C164" i="7"/>
  <c r="B164" i="7"/>
  <c r="A164" i="7"/>
  <c r="F163" i="7"/>
  <c r="E163" i="7"/>
  <c r="D163" i="7"/>
  <c r="C163" i="7"/>
  <c r="B163" i="7"/>
  <c r="A163" i="7"/>
  <c r="F162" i="7"/>
  <c r="E162" i="7"/>
  <c r="D162" i="7"/>
  <c r="C162" i="7"/>
  <c r="B162" i="7"/>
  <c r="A162" i="7"/>
  <c r="F161" i="7"/>
  <c r="E161" i="7"/>
  <c r="D161" i="7"/>
  <c r="C161" i="7"/>
  <c r="B161" i="7"/>
  <c r="A161" i="7"/>
  <c r="F160" i="7"/>
  <c r="E160" i="7"/>
  <c r="D160" i="7"/>
  <c r="C160" i="7"/>
  <c r="B160" i="7"/>
  <c r="A160" i="7"/>
  <c r="F159" i="7"/>
  <c r="E159" i="7"/>
  <c r="D159" i="7"/>
  <c r="C159" i="7"/>
  <c r="B159" i="7"/>
  <c r="A159" i="7"/>
  <c r="F158" i="7"/>
  <c r="E158" i="7"/>
  <c r="D158" i="7"/>
  <c r="C158" i="7"/>
  <c r="B158" i="7"/>
  <c r="A158" i="7"/>
  <c r="F157" i="7"/>
  <c r="E157" i="7"/>
  <c r="D157" i="7"/>
  <c r="C157" i="7"/>
  <c r="B157" i="7"/>
  <c r="A157" i="7"/>
  <c r="F156" i="7"/>
  <c r="E156" i="7"/>
  <c r="D156" i="7"/>
  <c r="C156" i="7"/>
  <c r="B156" i="7"/>
  <c r="A156" i="7"/>
  <c r="F155" i="7"/>
  <c r="E155" i="7"/>
  <c r="D155" i="7"/>
  <c r="C155" i="7"/>
  <c r="B155" i="7"/>
  <c r="A155" i="7"/>
  <c r="F154" i="7"/>
  <c r="E154" i="7"/>
  <c r="D154" i="7"/>
  <c r="C154" i="7"/>
  <c r="B154" i="7"/>
  <c r="A154" i="7"/>
  <c r="F153" i="7"/>
  <c r="E153" i="7"/>
  <c r="D153" i="7"/>
  <c r="C153" i="7"/>
  <c r="B153" i="7"/>
  <c r="A153" i="7"/>
  <c r="F152" i="7"/>
  <c r="E152" i="7"/>
  <c r="D152" i="7"/>
  <c r="C152" i="7"/>
  <c r="B152" i="7"/>
  <c r="A152" i="7"/>
  <c r="F151" i="7"/>
  <c r="E151" i="7"/>
  <c r="D151" i="7"/>
  <c r="C151" i="7"/>
  <c r="B151" i="7"/>
  <c r="A151" i="7"/>
  <c r="F150" i="7"/>
  <c r="E150" i="7"/>
  <c r="D150" i="7"/>
  <c r="C150" i="7"/>
  <c r="B150" i="7"/>
  <c r="A150" i="7"/>
  <c r="F149" i="7"/>
  <c r="E149" i="7"/>
  <c r="D149" i="7"/>
  <c r="C149" i="7"/>
  <c r="B149" i="7"/>
  <c r="A149" i="7"/>
  <c r="F148" i="7"/>
  <c r="E148" i="7"/>
  <c r="D148" i="7"/>
  <c r="C148" i="7"/>
  <c r="B148" i="7"/>
  <c r="A148" i="7"/>
  <c r="F147" i="7"/>
  <c r="E147" i="7"/>
  <c r="D147" i="7"/>
  <c r="C147" i="7"/>
  <c r="B147" i="7"/>
  <c r="A147" i="7"/>
  <c r="F146" i="7"/>
  <c r="E146" i="7"/>
  <c r="D146" i="7"/>
  <c r="C146" i="7"/>
  <c r="B146" i="7"/>
  <c r="A146" i="7"/>
  <c r="F145" i="7"/>
  <c r="E145" i="7"/>
  <c r="D145" i="7"/>
  <c r="C145" i="7"/>
  <c r="B145" i="7"/>
  <c r="A145" i="7"/>
  <c r="F144" i="7"/>
  <c r="E144" i="7"/>
  <c r="D144" i="7"/>
  <c r="C144" i="7"/>
  <c r="B144" i="7"/>
  <c r="A144" i="7"/>
  <c r="F143" i="7"/>
  <c r="E143" i="7"/>
  <c r="D143" i="7"/>
  <c r="C143" i="7"/>
  <c r="B143" i="7"/>
  <c r="A143" i="7"/>
  <c r="F142" i="7"/>
  <c r="E142" i="7"/>
  <c r="D142" i="7"/>
  <c r="C142" i="7"/>
  <c r="B142" i="7"/>
  <c r="A142" i="7"/>
  <c r="F141" i="7"/>
  <c r="E141" i="7"/>
  <c r="D141" i="7"/>
  <c r="C141" i="7"/>
  <c r="B141" i="7"/>
  <c r="A141" i="7"/>
  <c r="F140" i="7"/>
  <c r="E140" i="7"/>
  <c r="D140" i="7"/>
  <c r="C140" i="7"/>
  <c r="B140" i="7"/>
  <c r="A140" i="7"/>
  <c r="F139" i="7"/>
  <c r="E139" i="7"/>
  <c r="D139" i="7"/>
  <c r="C139" i="7"/>
  <c r="B139" i="7"/>
  <c r="A139" i="7"/>
  <c r="F138" i="7"/>
  <c r="E138" i="7"/>
  <c r="D138" i="7"/>
  <c r="C138" i="7"/>
  <c r="B138" i="7"/>
  <c r="A138" i="7"/>
  <c r="F137" i="7"/>
  <c r="E137" i="7"/>
  <c r="D137" i="7"/>
  <c r="C137" i="7"/>
  <c r="B137" i="7"/>
  <c r="A137" i="7"/>
  <c r="F136" i="7"/>
  <c r="E136" i="7"/>
  <c r="D136" i="7"/>
  <c r="C136" i="7"/>
  <c r="B136" i="7"/>
  <c r="A136" i="7"/>
  <c r="F135" i="7"/>
  <c r="E135" i="7"/>
  <c r="D135" i="7"/>
  <c r="C135" i="7"/>
  <c r="B135" i="7"/>
  <c r="A135" i="7"/>
  <c r="F134" i="7"/>
  <c r="E134" i="7"/>
  <c r="D134" i="7"/>
  <c r="C134" i="7"/>
  <c r="B134" i="7"/>
  <c r="A134" i="7"/>
  <c r="F133" i="7"/>
  <c r="E133" i="7"/>
  <c r="D133" i="7"/>
  <c r="C133" i="7"/>
  <c r="B133" i="7"/>
  <c r="A133" i="7"/>
  <c r="F132" i="7"/>
  <c r="E132" i="7"/>
  <c r="D132" i="7"/>
  <c r="C132" i="7"/>
  <c r="B132" i="7"/>
  <c r="A132" i="7"/>
  <c r="F131" i="7"/>
  <c r="E131" i="7"/>
  <c r="D131" i="7"/>
  <c r="C131" i="7"/>
  <c r="B131" i="7"/>
  <c r="A131" i="7"/>
  <c r="F130" i="7"/>
  <c r="E130" i="7"/>
  <c r="D130" i="7"/>
  <c r="C130" i="7"/>
  <c r="B130" i="7"/>
  <c r="A130" i="7"/>
  <c r="F129" i="7"/>
  <c r="E129" i="7"/>
  <c r="D129" i="7"/>
  <c r="C129" i="7"/>
  <c r="B129" i="7"/>
  <c r="A129" i="7"/>
  <c r="F128" i="7"/>
  <c r="E128" i="7"/>
  <c r="D128" i="7"/>
  <c r="C128" i="7"/>
  <c r="B128" i="7"/>
  <c r="A128" i="7"/>
  <c r="F127" i="7"/>
  <c r="E127" i="7"/>
  <c r="D127" i="7"/>
  <c r="C127" i="7"/>
  <c r="B127" i="7"/>
  <c r="A127" i="7"/>
  <c r="F126" i="7"/>
  <c r="E126" i="7"/>
  <c r="D126" i="7"/>
  <c r="C126" i="7"/>
  <c r="B126" i="7"/>
  <c r="A126" i="7"/>
  <c r="F125" i="7"/>
  <c r="E125" i="7"/>
  <c r="D125" i="7"/>
  <c r="C125" i="7"/>
  <c r="B125" i="7"/>
  <c r="A125" i="7"/>
  <c r="F124" i="7"/>
  <c r="E124" i="7"/>
  <c r="D124" i="7"/>
  <c r="C124" i="7"/>
  <c r="B124" i="7"/>
  <c r="A124" i="7"/>
  <c r="F123" i="7"/>
  <c r="E123" i="7"/>
  <c r="D123" i="7"/>
  <c r="C123" i="7"/>
  <c r="B123" i="7"/>
  <c r="A123" i="7"/>
  <c r="F122" i="7"/>
  <c r="E122" i="7"/>
  <c r="D122" i="7"/>
  <c r="C122" i="7"/>
  <c r="B122" i="7"/>
  <c r="A122" i="7"/>
  <c r="F121" i="7"/>
  <c r="E121" i="7"/>
  <c r="D121" i="7"/>
  <c r="C121" i="7"/>
  <c r="B121" i="7"/>
  <c r="A121" i="7"/>
  <c r="F120" i="7"/>
  <c r="E120" i="7"/>
  <c r="D120" i="7"/>
  <c r="C120" i="7"/>
  <c r="B120" i="7"/>
  <c r="A120" i="7"/>
  <c r="F119" i="7"/>
  <c r="E119" i="7"/>
  <c r="D119" i="7"/>
  <c r="C119" i="7"/>
  <c r="B119" i="7"/>
  <c r="A119" i="7"/>
  <c r="F118" i="7"/>
  <c r="E118" i="7"/>
  <c r="D118" i="7"/>
  <c r="C118" i="7"/>
  <c r="B118" i="7"/>
  <c r="A118" i="7"/>
  <c r="F117" i="7"/>
  <c r="E117" i="7"/>
  <c r="D117" i="7"/>
  <c r="C117" i="7"/>
  <c r="B117" i="7"/>
  <c r="A117" i="7"/>
  <c r="F116" i="7"/>
  <c r="E116" i="7"/>
  <c r="D116" i="7"/>
  <c r="C116" i="7"/>
  <c r="B116" i="7"/>
  <c r="A116" i="7"/>
  <c r="F115" i="7"/>
  <c r="E115" i="7"/>
  <c r="D115" i="7"/>
  <c r="C115" i="7"/>
  <c r="B115" i="7"/>
  <c r="A115" i="7"/>
  <c r="F114" i="7"/>
  <c r="E114" i="7"/>
  <c r="D114" i="7"/>
  <c r="C114" i="7"/>
  <c r="B114" i="7"/>
  <c r="A114" i="7"/>
  <c r="F113" i="7"/>
  <c r="E113" i="7"/>
  <c r="D113" i="7"/>
  <c r="C113" i="7"/>
  <c r="B113" i="7"/>
  <c r="A113" i="7"/>
  <c r="F112" i="7"/>
  <c r="E112" i="7"/>
  <c r="D112" i="7"/>
  <c r="C112" i="7"/>
  <c r="B112" i="7"/>
  <c r="A112" i="7"/>
  <c r="F111" i="7"/>
  <c r="E111" i="7"/>
  <c r="D111" i="7"/>
  <c r="C111" i="7"/>
  <c r="B111" i="7"/>
  <c r="A111" i="7"/>
  <c r="F110" i="7"/>
  <c r="E110" i="7"/>
  <c r="D110" i="7"/>
  <c r="C110" i="7"/>
  <c r="B110" i="7"/>
  <c r="A110" i="7"/>
  <c r="F109" i="7"/>
  <c r="E109" i="7"/>
  <c r="D109" i="7"/>
  <c r="C109" i="7"/>
  <c r="B109" i="7"/>
  <c r="A109" i="7"/>
  <c r="F108" i="7"/>
  <c r="E108" i="7"/>
  <c r="D108" i="7"/>
  <c r="C108" i="7"/>
  <c r="B108" i="7"/>
  <c r="A108" i="7"/>
  <c r="F107" i="7"/>
  <c r="E107" i="7"/>
  <c r="D107" i="7"/>
  <c r="C107" i="7"/>
  <c r="B107" i="7"/>
  <c r="A107" i="7"/>
  <c r="F106" i="7"/>
  <c r="E106" i="7"/>
  <c r="D106" i="7"/>
  <c r="C106" i="7"/>
  <c r="B106" i="7"/>
  <c r="A106" i="7"/>
  <c r="F105" i="7"/>
  <c r="E105" i="7"/>
  <c r="D105" i="7"/>
  <c r="C105" i="7"/>
  <c r="B105" i="7"/>
  <c r="A105" i="7"/>
  <c r="F104" i="7"/>
  <c r="E104" i="7"/>
  <c r="D104" i="7"/>
  <c r="C104" i="7"/>
  <c r="B104" i="7"/>
  <c r="A104" i="7"/>
  <c r="F103" i="7"/>
  <c r="E103" i="7"/>
  <c r="D103" i="7"/>
  <c r="C103" i="7"/>
  <c r="B103" i="7"/>
  <c r="A103" i="7"/>
  <c r="F102" i="7"/>
  <c r="E102" i="7"/>
  <c r="D102" i="7"/>
  <c r="C102" i="7"/>
  <c r="B102" i="7"/>
  <c r="A102" i="7"/>
  <c r="F101" i="7"/>
  <c r="E101" i="7"/>
  <c r="D101" i="7"/>
  <c r="C101" i="7"/>
  <c r="B101" i="7"/>
  <c r="A101" i="7"/>
  <c r="F100" i="7"/>
  <c r="E100" i="7"/>
  <c r="D100" i="7"/>
  <c r="C100" i="7"/>
  <c r="B100" i="7"/>
  <c r="A100" i="7"/>
  <c r="F99" i="7"/>
  <c r="E99" i="7"/>
  <c r="D99" i="7"/>
  <c r="C99" i="7"/>
  <c r="B99" i="7"/>
  <c r="A99" i="7"/>
  <c r="F98" i="7"/>
  <c r="E98" i="7"/>
  <c r="D98" i="7"/>
  <c r="C98" i="7"/>
  <c r="B98" i="7"/>
  <c r="A98" i="7"/>
  <c r="F97" i="7"/>
  <c r="E97" i="7"/>
  <c r="D97" i="7"/>
  <c r="C97" i="7"/>
  <c r="B97" i="7"/>
  <c r="A97" i="7"/>
  <c r="F96" i="7"/>
  <c r="E96" i="7"/>
  <c r="D96" i="7"/>
  <c r="C96" i="7"/>
  <c r="B96" i="7"/>
  <c r="A96" i="7"/>
  <c r="F95" i="7"/>
  <c r="E95" i="7"/>
  <c r="D95" i="7"/>
  <c r="C95" i="7"/>
  <c r="B95" i="7"/>
  <c r="A95" i="7"/>
  <c r="F94" i="7"/>
  <c r="E94" i="7"/>
  <c r="D94" i="7"/>
  <c r="C94" i="7"/>
  <c r="B94" i="7"/>
  <c r="A94" i="7"/>
  <c r="F93" i="7"/>
  <c r="E93" i="7"/>
  <c r="D93" i="7"/>
  <c r="C93" i="7"/>
  <c r="B93" i="7"/>
  <c r="A93" i="7"/>
  <c r="F92" i="7"/>
  <c r="E92" i="7"/>
  <c r="D92" i="7"/>
  <c r="C92" i="7"/>
  <c r="B92" i="7"/>
  <c r="A92" i="7"/>
  <c r="F91" i="7"/>
  <c r="E91" i="7"/>
  <c r="D91" i="7"/>
  <c r="C91" i="7"/>
  <c r="B91" i="7"/>
  <c r="A91" i="7"/>
  <c r="F90" i="7"/>
  <c r="E90" i="7"/>
  <c r="D90" i="7"/>
  <c r="C90" i="7"/>
  <c r="B90" i="7"/>
  <c r="A90" i="7"/>
  <c r="F89" i="7"/>
  <c r="E89" i="7"/>
  <c r="D89" i="7"/>
  <c r="C89" i="7"/>
  <c r="B89" i="7"/>
  <c r="A89" i="7"/>
  <c r="F88" i="7"/>
  <c r="E88" i="7"/>
  <c r="D88" i="7"/>
  <c r="C88" i="7"/>
  <c r="B88" i="7"/>
  <c r="A88" i="7"/>
  <c r="F87" i="7"/>
  <c r="E87" i="7"/>
  <c r="D87" i="7"/>
  <c r="C87" i="7"/>
  <c r="B87" i="7"/>
  <c r="A87" i="7"/>
  <c r="F86" i="7"/>
  <c r="E86" i="7"/>
  <c r="D86" i="7"/>
  <c r="C86" i="7"/>
  <c r="B86" i="7"/>
  <c r="A86" i="7"/>
  <c r="F85" i="7"/>
  <c r="E85" i="7"/>
  <c r="D85" i="7"/>
  <c r="C85" i="7"/>
  <c r="B85" i="7"/>
  <c r="A85" i="7"/>
  <c r="F84" i="7"/>
  <c r="E84" i="7"/>
  <c r="D84" i="7"/>
  <c r="C84" i="7"/>
  <c r="B84" i="7"/>
  <c r="A84" i="7"/>
  <c r="F83" i="7"/>
  <c r="E83" i="7"/>
  <c r="D83" i="7"/>
  <c r="C83" i="7"/>
  <c r="B83" i="7"/>
  <c r="A83" i="7"/>
  <c r="F82" i="7"/>
  <c r="E82" i="7"/>
  <c r="D82" i="7"/>
  <c r="C82" i="7"/>
  <c r="B82" i="7"/>
  <c r="A82" i="7"/>
  <c r="F81" i="7"/>
  <c r="E81" i="7"/>
  <c r="D81" i="7"/>
  <c r="C81" i="7"/>
  <c r="B81" i="7"/>
  <c r="A81" i="7"/>
  <c r="F80" i="7"/>
  <c r="E80" i="7"/>
  <c r="D80" i="7"/>
  <c r="C80" i="7"/>
  <c r="B80" i="7"/>
  <c r="A80" i="7"/>
  <c r="F79" i="7"/>
  <c r="E79" i="7"/>
  <c r="D79" i="7"/>
  <c r="C79" i="7"/>
  <c r="B79" i="7"/>
  <c r="A79" i="7"/>
  <c r="F78" i="7"/>
  <c r="E78" i="7"/>
  <c r="D78" i="7"/>
  <c r="C78" i="7"/>
  <c r="B78" i="7"/>
  <c r="A78" i="7"/>
  <c r="F77" i="7"/>
  <c r="E77" i="7"/>
  <c r="D77" i="7"/>
  <c r="C77" i="7"/>
  <c r="B77" i="7"/>
  <c r="A77" i="7"/>
  <c r="F76" i="7"/>
  <c r="E76" i="7"/>
  <c r="D76" i="7"/>
  <c r="C76" i="7"/>
  <c r="B76" i="7"/>
  <c r="A76" i="7"/>
  <c r="F75" i="7"/>
  <c r="E75" i="7"/>
  <c r="D75" i="7"/>
  <c r="C75" i="7"/>
  <c r="B75" i="7"/>
  <c r="A75" i="7"/>
  <c r="F74" i="7"/>
  <c r="E74" i="7"/>
  <c r="D74" i="7"/>
  <c r="C74" i="7"/>
  <c r="B74" i="7"/>
  <c r="A74" i="7"/>
  <c r="F73" i="7"/>
  <c r="E73" i="7"/>
  <c r="D73" i="7"/>
  <c r="C73" i="7"/>
  <c r="B73" i="7"/>
  <c r="A73" i="7"/>
  <c r="F72" i="7"/>
  <c r="E72" i="7"/>
  <c r="D72" i="7"/>
  <c r="C72" i="7"/>
  <c r="B72" i="7"/>
  <c r="A72" i="7"/>
  <c r="F71" i="7"/>
  <c r="E71" i="7"/>
  <c r="D71" i="7"/>
  <c r="C71" i="7"/>
  <c r="B71" i="7"/>
  <c r="A71" i="7"/>
  <c r="F70" i="7"/>
  <c r="E70" i="7"/>
  <c r="D70" i="7"/>
  <c r="C70" i="7"/>
  <c r="B70" i="7"/>
  <c r="A70" i="7"/>
  <c r="F69" i="7"/>
  <c r="E69" i="7"/>
  <c r="D69" i="7"/>
  <c r="C69" i="7"/>
  <c r="B69" i="7"/>
  <c r="A69" i="7"/>
  <c r="F68" i="7"/>
  <c r="E68" i="7"/>
  <c r="D68" i="7"/>
  <c r="C68" i="7"/>
  <c r="B68" i="7"/>
  <c r="A68" i="7"/>
  <c r="F67" i="7"/>
  <c r="E67" i="7"/>
  <c r="D67" i="7"/>
  <c r="C67" i="7"/>
  <c r="B67" i="7"/>
  <c r="A67" i="7"/>
  <c r="F66" i="7"/>
  <c r="E66" i="7"/>
  <c r="D66" i="7"/>
  <c r="C66" i="7"/>
  <c r="B66" i="7"/>
  <c r="A66" i="7"/>
  <c r="F65" i="7"/>
  <c r="E65" i="7"/>
  <c r="D65" i="7"/>
  <c r="C65" i="7"/>
  <c r="B65" i="7"/>
  <c r="A65" i="7"/>
  <c r="F64" i="7"/>
  <c r="E64" i="7"/>
  <c r="D64" i="7"/>
  <c r="C64" i="7"/>
  <c r="B64" i="7"/>
  <c r="A64" i="7"/>
  <c r="F63" i="7"/>
  <c r="E63" i="7"/>
  <c r="D63" i="7"/>
  <c r="C63" i="7"/>
  <c r="B63" i="7"/>
  <c r="A63" i="7"/>
  <c r="F62" i="7"/>
  <c r="E62" i="7"/>
  <c r="D62" i="7"/>
  <c r="C62" i="7"/>
  <c r="B62" i="7"/>
  <c r="A62" i="7"/>
  <c r="F61" i="7"/>
  <c r="E61" i="7"/>
  <c r="D61" i="7"/>
  <c r="C61" i="7"/>
  <c r="B61" i="7"/>
  <c r="A61" i="7"/>
  <c r="F60" i="7"/>
  <c r="E60" i="7"/>
  <c r="D60" i="7"/>
  <c r="C60" i="7"/>
  <c r="B60" i="7"/>
  <c r="A60" i="7"/>
  <c r="F59" i="7"/>
  <c r="E59" i="7"/>
  <c r="D59" i="7"/>
  <c r="C59" i="7"/>
  <c r="B59" i="7"/>
  <c r="A59" i="7"/>
  <c r="F58" i="7"/>
  <c r="E58" i="7"/>
  <c r="D58" i="7"/>
  <c r="C58" i="7"/>
  <c r="B58" i="7"/>
  <c r="A58" i="7"/>
  <c r="F57" i="7"/>
  <c r="E57" i="7"/>
  <c r="D57" i="7"/>
  <c r="C57" i="7"/>
  <c r="B57" i="7"/>
  <c r="A57" i="7"/>
  <c r="F56" i="7"/>
  <c r="E56" i="7"/>
  <c r="D56" i="7"/>
  <c r="C56" i="7"/>
  <c r="B56" i="7"/>
  <c r="A56" i="7"/>
  <c r="F55" i="7"/>
  <c r="E55" i="7"/>
  <c r="D55" i="7"/>
  <c r="C55" i="7"/>
  <c r="B55" i="7"/>
  <c r="A55" i="7"/>
  <c r="F54" i="7"/>
  <c r="E54" i="7"/>
  <c r="D54" i="7"/>
  <c r="C54" i="7"/>
  <c r="B54" i="7"/>
  <c r="A54" i="7"/>
  <c r="F53" i="7"/>
  <c r="E53" i="7"/>
  <c r="D53" i="7"/>
  <c r="C53" i="7"/>
  <c r="B53" i="7"/>
  <c r="A53" i="7"/>
  <c r="F52" i="7"/>
  <c r="E52" i="7"/>
  <c r="D52" i="7"/>
  <c r="C52" i="7"/>
  <c r="B52" i="7"/>
  <c r="A52" i="7"/>
  <c r="F51" i="7"/>
  <c r="E51" i="7"/>
  <c r="D51" i="7"/>
  <c r="C51" i="7"/>
  <c r="B51" i="7"/>
  <c r="A51" i="7"/>
  <c r="F50" i="7"/>
  <c r="E50" i="7"/>
  <c r="D50" i="7"/>
  <c r="C50" i="7"/>
  <c r="B50" i="7"/>
  <c r="A50" i="7"/>
  <c r="F49" i="7"/>
  <c r="E49" i="7"/>
  <c r="D49" i="7"/>
  <c r="C49" i="7"/>
  <c r="B49" i="7"/>
  <c r="A49" i="7"/>
  <c r="F48" i="7"/>
  <c r="E48" i="7"/>
  <c r="D48" i="7"/>
  <c r="C48" i="7"/>
  <c r="B48" i="7"/>
  <c r="A48" i="7"/>
  <c r="F47" i="7"/>
  <c r="E47" i="7"/>
  <c r="D47" i="7"/>
  <c r="C47" i="7"/>
  <c r="B47" i="7"/>
  <c r="A47" i="7"/>
  <c r="F46" i="7"/>
  <c r="E46" i="7"/>
  <c r="D46" i="7"/>
  <c r="C46" i="7"/>
  <c r="B46" i="7"/>
  <c r="A46" i="7"/>
  <c r="F45" i="7"/>
  <c r="E45" i="7"/>
  <c r="D45" i="7"/>
  <c r="C45" i="7"/>
  <c r="B45" i="7"/>
  <c r="A45" i="7"/>
  <c r="F44" i="7"/>
  <c r="E44" i="7"/>
  <c r="D44" i="7"/>
  <c r="C44" i="7"/>
  <c r="B44" i="7"/>
  <c r="A44" i="7"/>
  <c r="F43" i="7"/>
  <c r="E43" i="7"/>
  <c r="D43" i="7"/>
  <c r="C43" i="7"/>
  <c r="B43" i="7"/>
  <c r="A43" i="7"/>
  <c r="F42" i="7"/>
  <c r="E42" i="7"/>
  <c r="D42" i="7"/>
  <c r="C42" i="7"/>
  <c r="B42" i="7"/>
  <c r="A42" i="7"/>
  <c r="F41" i="7"/>
  <c r="E41" i="7"/>
  <c r="D41" i="7"/>
  <c r="C41" i="7"/>
  <c r="B41" i="7"/>
  <c r="A41" i="7"/>
  <c r="F40" i="7"/>
  <c r="E40" i="7"/>
  <c r="D40" i="7"/>
  <c r="C40" i="7"/>
  <c r="B40" i="7"/>
  <c r="A40" i="7"/>
  <c r="F39" i="7"/>
  <c r="E39" i="7"/>
  <c r="D39" i="7"/>
  <c r="C39" i="7"/>
  <c r="B39" i="7"/>
  <c r="A39" i="7"/>
  <c r="F38" i="7"/>
  <c r="E38" i="7"/>
  <c r="D38" i="7"/>
  <c r="C38" i="7"/>
  <c r="B38" i="7"/>
  <c r="A38" i="7"/>
  <c r="F37" i="7"/>
  <c r="E37" i="7"/>
  <c r="D37" i="7"/>
  <c r="C37" i="7"/>
  <c r="B37" i="7"/>
  <c r="A37" i="7"/>
  <c r="F36" i="7"/>
  <c r="E36" i="7"/>
  <c r="D36" i="7"/>
  <c r="C36" i="7"/>
  <c r="B36" i="7"/>
  <c r="A36" i="7"/>
  <c r="F35" i="7"/>
  <c r="E35" i="7"/>
  <c r="D35" i="7"/>
  <c r="C35" i="7"/>
  <c r="B35" i="7"/>
  <c r="A35" i="7"/>
  <c r="F34" i="7"/>
  <c r="E34" i="7"/>
  <c r="D34" i="7"/>
  <c r="C34" i="7"/>
  <c r="B34" i="7"/>
  <c r="A34" i="7"/>
  <c r="F33" i="7"/>
  <c r="E33" i="7"/>
  <c r="D33" i="7"/>
  <c r="C33" i="7"/>
  <c r="B33" i="7"/>
  <c r="A33" i="7"/>
  <c r="F32" i="7"/>
  <c r="E32" i="7"/>
  <c r="D32" i="7"/>
  <c r="C32" i="7"/>
  <c r="B32" i="7"/>
  <c r="A32" i="7"/>
  <c r="F31" i="7"/>
  <c r="E31" i="7"/>
  <c r="D31" i="7"/>
  <c r="C31" i="7"/>
  <c r="B31" i="7"/>
  <c r="A31" i="7"/>
  <c r="F30" i="7"/>
  <c r="E30" i="7"/>
  <c r="D30" i="7"/>
  <c r="C30" i="7"/>
  <c r="B30" i="7"/>
  <c r="A30" i="7"/>
  <c r="F29" i="7"/>
  <c r="E29" i="7"/>
  <c r="D29" i="7"/>
  <c r="C29" i="7"/>
  <c r="B29" i="7"/>
  <c r="A29" i="7"/>
  <c r="F28" i="7"/>
  <c r="E28" i="7"/>
  <c r="D28" i="7"/>
  <c r="C28" i="7"/>
  <c r="B28" i="7"/>
  <c r="A28" i="7"/>
  <c r="F27" i="7"/>
  <c r="E27" i="7"/>
  <c r="D27" i="7"/>
  <c r="C27" i="7"/>
  <c r="B27" i="7"/>
  <c r="A27" i="7"/>
  <c r="F26" i="7"/>
  <c r="E26" i="7"/>
  <c r="D26" i="7"/>
  <c r="C26" i="7"/>
  <c r="B26" i="7"/>
  <c r="A26" i="7"/>
  <c r="F25" i="7"/>
  <c r="E25" i="7"/>
  <c r="D25" i="7"/>
  <c r="C25" i="7"/>
  <c r="B25" i="7"/>
  <c r="A25" i="7"/>
  <c r="F24" i="7"/>
  <c r="E24" i="7"/>
  <c r="D24" i="7"/>
  <c r="C24" i="7"/>
  <c r="B24" i="7"/>
  <c r="A24" i="7"/>
  <c r="F23" i="7"/>
  <c r="E23" i="7"/>
  <c r="D23" i="7"/>
  <c r="C23" i="7"/>
  <c r="B23" i="7"/>
  <c r="A23" i="7"/>
  <c r="F22" i="7"/>
  <c r="E22" i="7"/>
  <c r="D22" i="7"/>
  <c r="C22" i="7"/>
  <c r="B22" i="7"/>
  <c r="A22" i="7"/>
  <c r="F21" i="7"/>
  <c r="E21" i="7"/>
  <c r="D21" i="7"/>
  <c r="C21" i="7"/>
  <c r="B21" i="7"/>
  <c r="A21" i="7"/>
  <c r="F20" i="7"/>
  <c r="E20" i="7"/>
  <c r="D20" i="7"/>
  <c r="C20" i="7"/>
  <c r="B20" i="7"/>
  <c r="A20" i="7"/>
  <c r="F19" i="7"/>
  <c r="E19" i="7"/>
  <c r="D19" i="7"/>
  <c r="C19" i="7"/>
  <c r="B19" i="7"/>
  <c r="A19" i="7"/>
  <c r="F18" i="7"/>
  <c r="E18" i="7"/>
  <c r="D18" i="7"/>
  <c r="C18" i="7"/>
  <c r="B18" i="7"/>
  <c r="A18" i="7"/>
  <c r="F17" i="7"/>
  <c r="E17" i="7"/>
  <c r="D17" i="7"/>
  <c r="C17" i="7"/>
  <c r="B17" i="7"/>
  <c r="A17" i="7"/>
  <c r="F16" i="7"/>
  <c r="E16" i="7"/>
  <c r="D16" i="7"/>
  <c r="C16" i="7"/>
  <c r="B16" i="7"/>
  <c r="A16" i="7"/>
  <c r="F15" i="7"/>
  <c r="E15" i="7"/>
  <c r="D15" i="7"/>
  <c r="C15" i="7"/>
  <c r="B15" i="7"/>
  <c r="A15" i="7"/>
  <c r="F14" i="7"/>
  <c r="E14" i="7"/>
  <c r="D14" i="7"/>
  <c r="C14" i="7"/>
  <c r="B14" i="7"/>
  <c r="A14" i="7"/>
  <c r="F13" i="7"/>
  <c r="E13" i="7"/>
  <c r="D13" i="7"/>
  <c r="C13" i="7"/>
  <c r="B13" i="7"/>
  <c r="A13" i="7"/>
  <c r="F12" i="7"/>
  <c r="E12" i="7"/>
  <c r="D12" i="7"/>
  <c r="C12" i="7"/>
  <c r="B12" i="7"/>
  <c r="A12" i="7"/>
  <c r="F11" i="7"/>
  <c r="E11" i="7"/>
  <c r="D11" i="7"/>
  <c r="C11" i="7"/>
  <c r="B11" i="7"/>
  <c r="A11" i="7"/>
  <c r="F10" i="7"/>
  <c r="E10" i="7"/>
  <c r="D10" i="7"/>
  <c r="C10" i="7"/>
  <c r="B10" i="7"/>
  <c r="A10" i="7"/>
  <c r="F9" i="7"/>
  <c r="E9" i="7"/>
  <c r="D9" i="7"/>
  <c r="C9" i="7"/>
  <c r="B9" i="7"/>
  <c r="A9" i="7"/>
  <c r="F8" i="7"/>
  <c r="E8" i="7"/>
  <c r="D8" i="7"/>
  <c r="C8" i="7"/>
  <c r="B8" i="7"/>
  <c r="A8" i="7"/>
  <c r="F7" i="7"/>
  <c r="E7" i="7"/>
  <c r="D7" i="7"/>
  <c r="C7" i="7"/>
  <c r="B7" i="7"/>
  <c r="A7" i="7"/>
  <c r="F6" i="7"/>
  <c r="E6" i="7"/>
  <c r="D6" i="7"/>
  <c r="C6" i="7"/>
  <c r="B6" i="7"/>
  <c r="A6" i="7"/>
  <c r="F5" i="7"/>
  <c r="E5" i="7"/>
  <c r="D5" i="7"/>
  <c r="C5" i="7"/>
  <c r="B5" i="7"/>
  <c r="A5" i="7"/>
  <c r="F4" i="7"/>
  <c r="E4" i="7"/>
  <c r="D4" i="7"/>
  <c r="C4" i="7"/>
  <c r="B4" i="7"/>
  <c r="A4" i="7"/>
  <c r="F3" i="7"/>
  <c r="E3" i="7"/>
  <c r="D3" i="7"/>
  <c r="C3" i="7"/>
  <c r="B3" i="7"/>
  <c r="A3" i="7"/>
  <c r="F2" i="7"/>
  <c r="E2" i="7"/>
  <c r="D2" i="7"/>
  <c r="C2" i="7"/>
  <c r="B2" i="7"/>
  <c r="A2" i="7"/>
  <c r="F760" i="6"/>
  <c r="E760" i="6"/>
  <c r="D760" i="6"/>
  <c r="C760" i="6"/>
  <c r="B760" i="6"/>
  <c r="A760" i="6"/>
  <c r="F759" i="6"/>
  <c r="E759" i="6"/>
  <c r="D759" i="6"/>
  <c r="C759" i="6"/>
  <c r="F758" i="6"/>
  <c r="E758" i="6"/>
  <c r="D758" i="6"/>
  <c r="C758" i="6"/>
  <c r="B758" i="6"/>
  <c r="A758" i="6"/>
  <c r="F757" i="6"/>
  <c r="E757" i="6"/>
  <c r="D757" i="6"/>
  <c r="C757" i="6"/>
  <c r="B757" i="6"/>
  <c r="A757" i="6"/>
  <c r="F756" i="6"/>
  <c r="E756" i="6"/>
  <c r="D756" i="6"/>
  <c r="C756" i="6"/>
  <c r="B756" i="6"/>
  <c r="A756" i="6"/>
  <c r="F755" i="6"/>
  <c r="E755" i="6"/>
  <c r="D755" i="6"/>
  <c r="C755" i="6"/>
  <c r="B755" i="6"/>
  <c r="A755" i="6"/>
  <c r="F754" i="6"/>
  <c r="E754" i="6"/>
  <c r="D754" i="6"/>
  <c r="C754" i="6"/>
  <c r="B754" i="6"/>
  <c r="A754" i="6"/>
  <c r="F753" i="6"/>
  <c r="E753" i="6"/>
  <c r="D753" i="6"/>
  <c r="C753" i="6"/>
  <c r="B753" i="6"/>
  <c r="A753" i="6"/>
  <c r="F752" i="6"/>
  <c r="E752" i="6"/>
  <c r="D752" i="6"/>
  <c r="C752" i="6"/>
  <c r="B752" i="6"/>
  <c r="A752" i="6"/>
  <c r="F751" i="6"/>
  <c r="E751" i="6"/>
  <c r="D751" i="6"/>
  <c r="C751" i="6"/>
  <c r="B751" i="6"/>
  <c r="A751" i="6"/>
  <c r="F750" i="6"/>
  <c r="E750" i="6"/>
  <c r="D750" i="6"/>
  <c r="C750" i="6"/>
  <c r="B750" i="6"/>
  <c r="A750" i="6"/>
  <c r="F749" i="6"/>
  <c r="E749" i="6"/>
  <c r="D749" i="6"/>
  <c r="C749" i="6"/>
  <c r="B749" i="6"/>
  <c r="A749" i="6"/>
  <c r="F748" i="6"/>
  <c r="E748" i="6"/>
  <c r="D748" i="6"/>
  <c r="C748" i="6"/>
  <c r="B748" i="6"/>
  <c r="A748" i="6"/>
  <c r="F747" i="6"/>
  <c r="E747" i="6"/>
  <c r="D747" i="6"/>
  <c r="C747" i="6"/>
  <c r="B747" i="6"/>
  <c r="A747" i="6"/>
  <c r="F746" i="6"/>
  <c r="E746" i="6"/>
  <c r="D746" i="6"/>
  <c r="C746" i="6"/>
  <c r="B746" i="6"/>
  <c r="A746" i="6"/>
  <c r="F745" i="6"/>
  <c r="E745" i="6"/>
  <c r="D745" i="6"/>
  <c r="C745" i="6"/>
  <c r="B745" i="6"/>
  <c r="A745" i="6"/>
  <c r="F744" i="6"/>
  <c r="E744" i="6"/>
  <c r="D744" i="6"/>
  <c r="C744" i="6"/>
  <c r="B744" i="6"/>
  <c r="A744" i="6"/>
  <c r="F743" i="6"/>
  <c r="E743" i="6"/>
  <c r="D743" i="6"/>
  <c r="C743" i="6"/>
  <c r="B743" i="6"/>
  <c r="A743" i="6"/>
  <c r="F742" i="6"/>
  <c r="E742" i="6"/>
  <c r="D742" i="6"/>
  <c r="C742" i="6"/>
  <c r="B742" i="6"/>
  <c r="A742" i="6"/>
  <c r="F741" i="6"/>
  <c r="E741" i="6"/>
  <c r="D741" i="6"/>
  <c r="C741" i="6"/>
  <c r="B741" i="6"/>
  <c r="A741" i="6"/>
  <c r="F740" i="6"/>
  <c r="E740" i="6"/>
  <c r="D740" i="6"/>
  <c r="C740" i="6"/>
  <c r="B740" i="6"/>
  <c r="A740" i="6"/>
  <c r="F739" i="6"/>
  <c r="E739" i="6"/>
  <c r="D739" i="6"/>
  <c r="C739" i="6"/>
  <c r="B739" i="6"/>
  <c r="A739" i="6"/>
  <c r="F738" i="6"/>
  <c r="E738" i="6"/>
  <c r="D738" i="6"/>
  <c r="C738" i="6"/>
  <c r="B738" i="6"/>
  <c r="A738" i="6"/>
  <c r="F737" i="6"/>
  <c r="E737" i="6"/>
  <c r="D737" i="6"/>
  <c r="C737" i="6"/>
  <c r="B737" i="6"/>
  <c r="A737" i="6"/>
  <c r="F736" i="6"/>
  <c r="E736" i="6"/>
  <c r="D736" i="6"/>
  <c r="C736" i="6"/>
  <c r="B736" i="6"/>
  <c r="A736" i="6"/>
  <c r="F735" i="6"/>
  <c r="E735" i="6"/>
  <c r="D735" i="6"/>
  <c r="C735" i="6"/>
  <c r="B735" i="6"/>
  <c r="A735" i="6"/>
  <c r="F734" i="6"/>
  <c r="E734" i="6"/>
  <c r="D734" i="6"/>
  <c r="C734" i="6"/>
  <c r="B734" i="6"/>
  <c r="A734" i="6"/>
  <c r="F733" i="6"/>
  <c r="E733" i="6"/>
  <c r="D733" i="6"/>
  <c r="C733" i="6"/>
  <c r="B733" i="6"/>
  <c r="A733" i="6"/>
  <c r="F732" i="6"/>
  <c r="E732" i="6"/>
  <c r="D732" i="6"/>
  <c r="C732" i="6"/>
  <c r="B732" i="6"/>
  <c r="A732" i="6"/>
  <c r="F731" i="6"/>
  <c r="E731" i="6"/>
  <c r="D731" i="6"/>
  <c r="C731" i="6"/>
  <c r="B731" i="6"/>
  <c r="A731" i="6"/>
  <c r="F730" i="6"/>
  <c r="E730" i="6"/>
  <c r="D730" i="6"/>
  <c r="C730" i="6"/>
  <c r="B730" i="6"/>
  <c r="A730" i="6"/>
  <c r="F729" i="6"/>
  <c r="E729" i="6"/>
  <c r="D729" i="6"/>
  <c r="C729" i="6"/>
  <c r="B729" i="6"/>
  <c r="A729" i="6"/>
  <c r="F728" i="6"/>
  <c r="E728" i="6"/>
  <c r="D728" i="6"/>
  <c r="C728" i="6"/>
  <c r="B728" i="6"/>
  <c r="A728" i="6"/>
  <c r="F727" i="6"/>
  <c r="E727" i="6"/>
  <c r="D727" i="6"/>
  <c r="C727" i="6"/>
  <c r="B727" i="6"/>
  <c r="A727" i="6"/>
  <c r="F726" i="6"/>
  <c r="E726" i="6"/>
  <c r="D726" i="6"/>
  <c r="C726" i="6"/>
  <c r="B726" i="6"/>
  <c r="A726" i="6"/>
  <c r="F725" i="6"/>
  <c r="E725" i="6"/>
  <c r="D725" i="6"/>
  <c r="C725" i="6"/>
  <c r="B725" i="6"/>
  <c r="A725" i="6"/>
  <c r="F724" i="6"/>
  <c r="E724" i="6"/>
  <c r="D724" i="6"/>
  <c r="C724" i="6"/>
  <c r="B724" i="6"/>
  <c r="A724" i="6"/>
  <c r="F723" i="6"/>
  <c r="E723" i="6"/>
  <c r="D723" i="6"/>
  <c r="C723" i="6"/>
  <c r="B723" i="6"/>
  <c r="A723" i="6"/>
  <c r="F722" i="6"/>
  <c r="E722" i="6"/>
  <c r="D722" i="6"/>
  <c r="C722" i="6"/>
  <c r="B722" i="6"/>
  <c r="A722" i="6"/>
  <c r="F721" i="6"/>
  <c r="E721" i="6"/>
  <c r="D721" i="6"/>
  <c r="C721" i="6"/>
  <c r="B721" i="6"/>
  <c r="A721" i="6"/>
  <c r="F720" i="6"/>
  <c r="E720" i="6"/>
  <c r="D720" i="6"/>
  <c r="C720" i="6"/>
  <c r="B720" i="6"/>
  <c r="A720" i="6"/>
  <c r="F719" i="6"/>
  <c r="E719" i="6"/>
  <c r="D719" i="6"/>
  <c r="C719" i="6"/>
  <c r="B719" i="6"/>
  <c r="A719" i="6"/>
  <c r="F718" i="6"/>
  <c r="E718" i="6"/>
  <c r="D718" i="6"/>
  <c r="C718" i="6"/>
  <c r="B718" i="6"/>
  <c r="A718" i="6"/>
  <c r="F717" i="6"/>
  <c r="E717" i="6"/>
  <c r="D717" i="6"/>
  <c r="C717" i="6"/>
  <c r="B717" i="6"/>
  <c r="A717" i="6"/>
  <c r="F716" i="6"/>
  <c r="E716" i="6"/>
  <c r="D716" i="6"/>
  <c r="C716" i="6"/>
  <c r="B716" i="6"/>
  <c r="A716" i="6"/>
  <c r="F715" i="6"/>
  <c r="E715" i="6"/>
  <c r="D715" i="6"/>
  <c r="C715" i="6"/>
  <c r="B715" i="6"/>
  <c r="A715" i="6"/>
  <c r="F714" i="6"/>
  <c r="E714" i="6"/>
  <c r="D714" i="6"/>
  <c r="C714" i="6"/>
  <c r="B714" i="6"/>
  <c r="A714" i="6"/>
  <c r="F713" i="6"/>
  <c r="E713" i="6"/>
  <c r="D713" i="6"/>
  <c r="C713" i="6"/>
  <c r="B713" i="6"/>
  <c r="A713" i="6"/>
  <c r="F712" i="6"/>
  <c r="E712" i="6"/>
  <c r="D712" i="6"/>
  <c r="C712" i="6"/>
  <c r="B712" i="6"/>
  <c r="A712" i="6"/>
  <c r="F711" i="6"/>
  <c r="E711" i="6"/>
  <c r="D711" i="6"/>
  <c r="C711" i="6"/>
  <c r="B711" i="6"/>
  <c r="A711" i="6"/>
  <c r="F710" i="6"/>
  <c r="E710" i="6"/>
  <c r="D710" i="6"/>
  <c r="C710" i="6"/>
  <c r="B710" i="6"/>
  <c r="A710" i="6"/>
  <c r="F709" i="6"/>
  <c r="E709" i="6"/>
  <c r="D709" i="6"/>
  <c r="C709" i="6"/>
  <c r="B709" i="6"/>
  <c r="A709" i="6"/>
  <c r="F708" i="6"/>
  <c r="E708" i="6"/>
  <c r="D708" i="6"/>
  <c r="C708" i="6"/>
  <c r="B708" i="6"/>
  <c r="A708" i="6"/>
  <c r="F707" i="6"/>
  <c r="E707" i="6"/>
  <c r="D707" i="6"/>
  <c r="C707" i="6"/>
  <c r="B707" i="6"/>
  <c r="A707" i="6"/>
  <c r="F706" i="6"/>
  <c r="E706" i="6"/>
  <c r="D706" i="6"/>
  <c r="C706" i="6"/>
  <c r="B706" i="6"/>
  <c r="A706" i="6"/>
  <c r="F705" i="6"/>
  <c r="E705" i="6"/>
  <c r="D705" i="6"/>
  <c r="C705" i="6"/>
  <c r="B705" i="6"/>
  <c r="A705" i="6"/>
  <c r="F704" i="6"/>
  <c r="E704" i="6"/>
  <c r="D704" i="6"/>
  <c r="C704" i="6"/>
  <c r="B704" i="6"/>
  <c r="A704" i="6"/>
  <c r="F703" i="6"/>
  <c r="E703" i="6"/>
  <c r="D703" i="6"/>
  <c r="C703" i="6"/>
  <c r="B703" i="6"/>
  <c r="A703" i="6"/>
  <c r="F702" i="6"/>
  <c r="E702" i="6"/>
  <c r="D702" i="6"/>
  <c r="C702" i="6"/>
  <c r="B702" i="6"/>
  <c r="A702" i="6"/>
  <c r="F701" i="6"/>
  <c r="E701" i="6"/>
  <c r="D701" i="6"/>
  <c r="C701" i="6"/>
  <c r="B701" i="6"/>
  <c r="A701" i="6"/>
  <c r="F700" i="6"/>
  <c r="E700" i="6"/>
  <c r="D700" i="6"/>
  <c r="C700" i="6"/>
  <c r="B700" i="6"/>
  <c r="A700" i="6"/>
  <c r="F699" i="6"/>
  <c r="E699" i="6"/>
  <c r="D699" i="6"/>
  <c r="C699" i="6"/>
  <c r="B699" i="6"/>
  <c r="A699" i="6"/>
  <c r="F698" i="6"/>
  <c r="E698" i="6"/>
  <c r="D698" i="6"/>
  <c r="C698" i="6"/>
  <c r="B698" i="6"/>
  <c r="A698" i="6"/>
  <c r="F697" i="6"/>
  <c r="E697" i="6"/>
  <c r="D697" i="6"/>
  <c r="C697" i="6"/>
  <c r="B697" i="6"/>
  <c r="A697" i="6"/>
  <c r="F696" i="6"/>
  <c r="E696" i="6"/>
  <c r="D696" i="6"/>
  <c r="C696" i="6"/>
  <c r="B696" i="6"/>
  <c r="A696" i="6"/>
  <c r="F695" i="6"/>
  <c r="E695" i="6"/>
  <c r="D695" i="6"/>
  <c r="C695" i="6"/>
  <c r="B695" i="6"/>
  <c r="A695" i="6"/>
  <c r="F694" i="6"/>
  <c r="E694" i="6"/>
  <c r="D694" i="6"/>
  <c r="C694" i="6"/>
  <c r="B694" i="6"/>
  <c r="A694" i="6"/>
  <c r="F693" i="6"/>
  <c r="E693" i="6"/>
  <c r="D693" i="6"/>
  <c r="C693" i="6"/>
  <c r="B693" i="6"/>
  <c r="A693" i="6"/>
  <c r="F692" i="6"/>
  <c r="E692" i="6"/>
  <c r="D692" i="6"/>
  <c r="C692" i="6"/>
  <c r="B692" i="6"/>
  <c r="A692" i="6"/>
  <c r="F691" i="6"/>
  <c r="E691" i="6"/>
  <c r="D691" i="6"/>
  <c r="C691" i="6"/>
  <c r="B691" i="6"/>
  <c r="A691" i="6"/>
  <c r="F690" i="6"/>
  <c r="E690" i="6"/>
  <c r="D690" i="6"/>
  <c r="C690" i="6"/>
  <c r="B690" i="6"/>
  <c r="A690" i="6"/>
  <c r="F689" i="6"/>
  <c r="E689" i="6"/>
  <c r="D689" i="6"/>
  <c r="C689" i="6"/>
  <c r="B689" i="6"/>
  <c r="A689" i="6"/>
  <c r="F688" i="6"/>
  <c r="E688" i="6"/>
  <c r="D688" i="6"/>
  <c r="C688" i="6"/>
  <c r="B688" i="6"/>
  <c r="A688" i="6"/>
  <c r="F687" i="6"/>
  <c r="E687" i="6"/>
  <c r="D687" i="6"/>
  <c r="C687" i="6"/>
  <c r="B687" i="6"/>
  <c r="A687" i="6"/>
  <c r="F686" i="6"/>
  <c r="E686" i="6"/>
  <c r="D686" i="6"/>
  <c r="C686" i="6"/>
  <c r="B686" i="6"/>
  <c r="A686" i="6"/>
  <c r="F685" i="6"/>
  <c r="E685" i="6"/>
  <c r="D685" i="6"/>
  <c r="C685" i="6"/>
  <c r="B685" i="6"/>
  <c r="A685" i="6"/>
  <c r="F684" i="6"/>
  <c r="E684" i="6"/>
  <c r="D684" i="6"/>
  <c r="C684" i="6"/>
  <c r="B684" i="6"/>
  <c r="A684" i="6"/>
  <c r="F683" i="6"/>
  <c r="E683" i="6"/>
  <c r="D683" i="6"/>
  <c r="C683" i="6"/>
  <c r="B683" i="6"/>
  <c r="A683" i="6"/>
  <c r="F682" i="6"/>
  <c r="E682" i="6"/>
  <c r="D682" i="6"/>
  <c r="C682" i="6"/>
  <c r="B682" i="6"/>
  <c r="A682" i="6"/>
  <c r="F681" i="6"/>
  <c r="E681" i="6"/>
  <c r="D681" i="6"/>
  <c r="C681" i="6"/>
  <c r="B681" i="6"/>
  <c r="A681" i="6"/>
  <c r="F680" i="6"/>
  <c r="E680" i="6"/>
  <c r="D680" i="6"/>
  <c r="C680" i="6"/>
  <c r="B680" i="6"/>
  <c r="A680" i="6"/>
  <c r="F679" i="6"/>
  <c r="E679" i="6"/>
  <c r="D679" i="6"/>
  <c r="C679" i="6"/>
  <c r="B679" i="6"/>
  <c r="A679" i="6"/>
  <c r="F678" i="6"/>
  <c r="E678" i="6"/>
  <c r="D678" i="6"/>
  <c r="C678" i="6"/>
  <c r="B678" i="6"/>
  <c r="A678" i="6"/>
  <c r="F677" i="6"/>
  <c r="E677" i="6"/>
  <c r="D677" i="6"/>
  <c r="C677" i="6"/>
  <c r="B677" i="6"/>
  <c r="A677" i="6"/>
  <c r="F676" i="6"/>
  <c r="E676" i="6"/>
  <c r="D676" i="6"/>
  <c r="C676" i="6"/>
  <c r="B676" i="6"/>
  <c r="A676" i="6"/>
  <c r="F675" i="6"/>
  <c r="E675" i="6"/>
  <c r="D675" i="6"/>
  <c r="C675" i="6"/>
  <c r="B675" i="6"/>
  <c r="A675" i="6"/>
  <c r="F674" i="6"/>
  <c r="E674" i="6"/>
  <c r="D674" i="6"/>
  <c r="C674" i="6"/>
  <c r="B674" i="6"/>
  <c r="A674" i="6"/>
  <c r="F673" i="6"/>
  <c r="E673" i="6"/>
  <c r="D673" i="6"/>
  <c r="C673" i="6"/>
  <c r="B673" i="6"/>
  <c r="A673" i="6"/>
  <c r="F672" i="6"/>
  <c r="E672" i="6"/>
  <c r="D672" i="6"/>
  <c r="C672" i="6"/>
  <c r="B672" i="6"/>
  <c r="A672" i="6"/>
  <c r="F671" i="6"/>
  <c r="E671" i="6"/>
  <c r="D671" i="6"/>
  <c r="C671" i="6"/>
  <c r="B671" i="6"/>
  <c r="A671" i="6"/>
  <c r="F670" i="6"/>
  <c r="E670" i="6"/>
  <c r="D670" i="6"/>
  <c r="C670" i="6"/>
  <c r="B670" i="6"/>
  <c r="A670" i="6"/>
  <c r="F669" i="6"/>
  <c r="E669" i="6"/>
  <c r="D669" i="6"/>
  <c r="C669" i="6"/>
  <c r="B669" i="6"/>
  <c r="A669" i="6"/>
  <c r="F668" i="6"/>
  <c r="E668" i="6"/>
  <c r="D668" i="6"/>
  <c r="C668" i="6"/>
  <c r="B668" i="6"/>
  <c r="A668" i="6"/>
  <c r="F667" i="6"/>
  <c r="E667" i="6"/>
  <c r="D667" i="6"/>
  <c r="C667" i="6"/>
  <c r="B667" i="6"/>
  <c r="A667" i="6"/>
  <c r="F666" i="6"/>
  <c r="E666" i="6"/>
  <c r="D666" i="6"/>
  <c r="C666" i="6"/>
  <c r="B666" i="6"/>
  <c r="A666" i="6"/>
  <c r="F665" i="6"/>
  <c r="E665" i="6"/>
  <c r="D665" i="6"/>
  <c r="C665" i="6"/>
  <c r="B665" i="6"/>
  <c r="A665" i="6"/>
  <c r="F664" i="6"/>
  <c r="E664" i="6"/>
  <c r="D664" i="6"/>
  <c r="C664" i="6"/>
  <c r="B664" i="6"/>
  <c r="A664" i="6"/>
  <c r="F663" i="6"/>
  <c r="E663" i="6"/>
  <c r="D663" i="6"/>
  <c r="C663" i="6"/>
  <c r="B663" i="6"/>
  <c r="A663" i="6"/>
  <c r="F662" i="6"/>
  <c r="E662" i="6"/>
  <c r="D662" i="6"/>
  <c r="C662" i="6"/>
  <c r="B662" i="6"/>
  <c r="A662" i="6"/>
  <c r="F661" i="6"/>
  <c r="E661" i="6"/>
  <c r="D661" i="6"/>
  <c r="C661" i="6"/>
  <c r="B661" i="6"/>
  <c r="A661" i="6"/>
  <c r="F660" i="6"/>
  <c r="E660" i="6"/>
  <c r="D660" i="6"/>
  <c r="C660" i="6"/>
  <c r="B660" i="6"/>
  <c r="A660" i="6"/>
  <c r="F659" i="6"/>
  <c r="E659" i="6"/>
  <c r="D659" i="6"/>
  <c r="C659" i="6"/>
  <c r="B659" i="6"/>
  <c r="A659" i="6"/>
  <c r="F658" i="6"/>
  <c r="E658" i="6"/>
  <c r="D658" i="6"/>
  <c r="C658" i="6"/>
  <c r="B658" i="6"/>
  <c r="A658" i="6"/>
  <c r="F657" i="6"/>
  <c r="E657" i="6"/>
  <c r="D657" i="6"/>
  <c r="C657" i="6"/>
  <c r="B657" i="6"/>
  <c r="A657" i="6"/>
  <c r="F656" i="6"/>
  <c r="E656" i="6"/>
  <c r="D656" i="6"/>
  <c r="C656" i="6"/>
  <c r="B656" i="6"/>
  <c r="A656" i="6"/>
  <c r="F655" i="6"/>
  <c r="E655" i="6"/>
  <c r="D655" i="6"/>
  <c r="C655" i="6"/>
  <c r="B655" i="6"/>
  <c r="A655" i="6"/>
  <c r="F654" i="6"/>
  <c r="E654" i="6"/>
  <c r="D654" i="6"/>
  <c r="C654" i="6"/>
  <c r="B654" i="6"/>
  <c r="A654" i="6"/>
  <c r="F653" i="6"/>
  <c r="E653" i="6"/>
  <c r="D653" i="6"/>
  <c r="C653" i="6"/>
  <c r="B653" i="6"/>
  <c r="A653" i="6"/>
  <c r="F652" i="6"/>
  <c r="E652" i="6"/>
  <c r="D652" i="6"/>
  <c r="C652" i="6"/>
  <c r="B652" i="6"/>
  <c r="A652" i="6"/>
  <c r="F651" i="6"/>
  <c r="E651" i="6"/>
  <c r="D651" i="6"/>
  <c r="C651" i="6"/>
  <c r="B651" i="6"/>
  <c r="A651" i="6"/>
  <c r="F650" i="6"/>
  <c r="E650" i="6"/>
  <c r="D650" i="6"/>
  <c r="C650" i="6"/>
  <c r="B650" i="6"/>
  <c r="A650" i="6"/>
  <c r="F649" i="6"/>
  <c r="E649" i="6"/>
  <c r="D649" i="6"/>
  <c r="C649" i="6"/>
  <c r="B649" i="6"/>
  <c r="A649" i="6"/>
  <c r="F648" i="6"/>
  <c r="E648" i="6"/>
  <c r="D648" i="6"/>
  <c r="C648" i="6"/>
  <c r="B648" i="6"/>
  <c r="A648" i="6"/>
  <c r="F647" i="6"/>
  <c r="E647" i="6"/>
  <c r="D647" i="6"/>
  <c r="C647" i="6"/>
  <c r="B647" i="6"/>
  <c r="A647" i="6"/>
  <c r="F646" i="6"/>
  <c r="E646" i="6"/>
  <c r="D646" i="6"/>
  <c r="C646" i="6"/>
  <c r="B646" i="6"/>
  <c r="A646" i="6"/>
  <c r="F645" i="6"/>
  <c r="E645" i="6"/>
  <c r="D645" i="6"/>
  <c r="C645" i="6"/>
  <c r="B645" i="6"/>
  <c r="A645" i="6"/>
  <c r="F644" i="6"/>
  <c r="E644" i="6"/>
  <c r="D644" i="6"/>
  <c r="C644" i="6"/>
  <c r="B644" i="6"/>
  <c r="A644" i="6"/>
  <c r="F643" i="6"/>
  <c r="E643" i="6"/>
  <c r="D643" i="6"/>
  <c r="C643" i="6"/>
  <c r="B643" i="6"/>
  <c r="A643" i="6"/>
  <c r="F642" i="6"/>
  <c r="E642" i="6"/>
  <c r="D642" i="6"/>
  <c r="C642" i="6"/>
  <c r="B642" i="6"/>
  <c r="A642" i="6"/>
  <c r="F641" i="6"/>
  <c r="E641" i="6"/>
  <c r="D641" i="6"/>
  <c r="C641" i="6"/>
  <c r="B641" i="6"/>
  <c r="A641" i="6"/>
  <c r="F640" i="6"/>
  <c r="E640" i="6"/>
  <c r="D640" i="6"/>
  <c r="C640" i="6"/>
  <c r="B640" i="6"/>
  <c r="A640" i="6"/>
  <c r="F639" i="6"/>
  <c r="E639" i="6"/>
  <c r="D639" i="6"/>
  <c r="C639" i="6"/>
  <c r="B639" i="6"/>
  <c r="A639" i="6"/>
  <c r="F638" i="6"/>
  <c r="E638" i="6"/>
  <c r="D638" i="6"/>
  <c r="C638" i="6"/>
  <c r="B638" i="6"/>
  <c r="A638" i="6"/>
  <c r="F637" i="6"/>
  <c r="E637" i="6"/>
  <c r="D637" i="6"/>
  <c r="C637" i="6"/>
  <c r="B637" i="6"/>
  <c r="A637" i="6"/>
  <c r="F636" i="6"/>
  <c r="E636" i="6"/>
  <c r="D636" i="6"/>
  <c r="C636" i="6"/>
  <c r="B636" i="6"/>
  <c r="A636" i="6"/>
  <c r="F635" i="6"/>
  <c r="E635" i="6"/>
  <c r="D635" i="6"/>
  <c r="C635" i="6"/>
  <c r="B635" i="6"/>
  <c r="A635" i="6"/>
  <c r="F634" i="6"/>
  <c r="E634" i="6"/>
  <c r="D634" i="6"/>
  <c r="C634" i="6"/>
  <c r="B634" i="6"/>
  <c r="A634" i="6"/>
  <c r="F633" i="6"/>
  <c r="E633" i="6"/>
  <c r="D633" i="6"/>
  <c r="C633" i="6"/>
  <c r="B633" i="6"/>
  <c r="A633" i="6"/>
  <c r="F632" i="6"/>
  <c r="E632" i="6"/>
  <c r="D632" i="6"/>
  <c r="C632" i="6"/>
  <c r="B632" i="6"/>
  <c r="A632" i="6"/>
  <c r="F631" i="6"/>
  <c r="E631" i="6"/>
  <c r="D631" i="6"/>
  <c r="C631" i="6"/>
  <c r="B631" i="6"/>
  <c r="A631" i="6"/>
  <c r="F630" i="6"/>
  <c r="E630" i="6"/>
  <c r="D630" i="6"/>
  <c r="C630" i="6"/>
  <c r="B630" i="6"/>
  <c r="A630" i="6"/>
  <c r="F629" i="6"/>
  <c r="E629" i="6"/>
  <c r="D629" i="6"/>
  <c r="C629" i="6"/>
  <c r="B629" i="6"/>
  <c r="A629" i="6"/>
  <c r="F628" i="6"/>
  <c r="E628" i="6"/>
  <c r="D628" i="6"/>
  <c r="C628" i="6"/>
  <c r="B628" i="6"/>
  <c r="A628" i="6"/>
  <c r="F627" i="6"/>
  <c r="E627" i="6"/>
  <c r="D627" i="6"/>
  <c r="C627" i="6"/>
  <c r="B627" i="6"/>
  <c r="A627" i="6"/>
  <c r="F626" i="6"/>
  <c r="E626" i="6"/>
  <c r="D626" i="6"/>
  <c r="C626" i="6"/>
  <c r="B626" i="6"/>
  <c r="A626" i="6"/>
  <c r="F625" i="6"/>
  <c r="E625" i="6"/>
  <c r="D625" i="6"/>
  <c r="C625" i="6"/>
  <c r="B625" i="6"/>
  <c r="A625" i="6"/>
  <c r="F624" i="6"/>
  <c r="E624" i="6"/>
  <c r="D624" i="6"/>
  <c r="C624" i="6"/>
  <c r="F623" i="6"/>
  <c r="E623" i="6"/>
  <c r="D623" i="6"/>
  <c r="C623" i="6"/>
  <c r="B623" i="6"/>
  <c r="A623" i="6"/>
  <c r="F622" i="6"/>
  <c r="E622" i="6"/>
  <c r="D622" i="6"/>
  <c r="C622" i="6"/>
  <c r="B622" i="6"/>
  <c r="A622" i="6"/>
  <c r="F621" i="6"/>
  <c r="E621" i="6"/>
  <c r="D621" i="6"/>
  <c r="C621" i="6"/>
  <c r="B621" i="6"/>
  <c r="A621" i="6"/>
  <c r="F620" i="6"/>
  <c r="E620" i="6"/>
  <c r="D620" i="6"/>
  <c r="C620" i="6"/>
  <c r="B620" i="6"/>
  <c r="A620" i="6"/>
  <c r="F619" i="6"/>
  <c r="E619" i="6"/>
  <c r="D619" i="6"/>
  <c r="C619" i="6"/>
  <c r="B619" i="6"/>
  <c r="A619" i="6"/>
  <c r="F618" i="6"/>
  <c r="E618" i="6"/>
  <c r="D618" i="6"/>
  <c r="C618" i="6"/>
  <c r="B618" i="6"/>
  <c r="A618" i="6"/>
  <c r="F617" i="6"/>
  <c r="E617" i="6"/>
  <c r="D617" i="6"/>
  <c r="C617" i="6"/>
  <c r="B617" i="6"/>
  <c r="A617" i="6"/>
  <c r="F616" i="6"/>
  <c r="E616" i="6"/>
  <c r="D616" i="6"/>
  <c r="C616" i="6"/>
  <c r="B616" i="6"/>
  <c r="A616" i="6"/>
  <c r="F615" i="6"/>
  <c r="E615" i="6"/>
  <c r="D615" i="6"/>
  <c r="C615" i="6"/>
  <c r="B615" i="6"/>
  <c r="A615" i="6"/>
  <c r="F614" i="6"/>
  <c r="E614" i="6"/>
  <c r="D614" i="6"/>
  <c r="C614" i="6"/>
  <c r="B614" i="6"/>
  <c r="A614" i="6"/>
  <c r="F613" i="6"/>
  <c r="E613" i="6"/>
  <c r="D613" i="6"/>
  <c r="C613" i="6"/>
  <c r="B613" i="6"/>
  <c r="A613" i="6"/>
  <c r="F612" i="6"/>
  <c r="E612" i="6"/>
  <c r="D612" i="6"/>
  <c r="C612" i="6"/>
  <c r="B612" i="6"/>
  <c r="A612" i="6"/>
  <c r="F611" i="6"/>
  <c r="E611" i="6"/>
  <c r="D611" i="6"/>
  <c r="C611" i="6"/>
  <c r="B611" i="6"/>
  <c r="A611" i="6"/>
  <c r="F610" i="6"/>
  <c r="E610" i="6"/>
  <c r="D610" i="6"/>
  <c r="C610" i="6"/>
  <c r="B610" i="6"/>
  <c r="A610" i="6"/>
  <c r="F609" i="6"/>
  <c r="E609" i="6"/>
  <c r="D609" i="6"/>
  <c r="C609" i="6"/>
  <c r="B609" i="6"/>
  <c r="A609" i="6"/>
  <c r="F608" i="6"/>
  <c r="E608" i="6"/>
  <c r="D608" i="6"/>
  <c r="C608" i="6"/>
  <c r="B608" i="6"/>
  <c r="A608" i="6"/>
  <c r="F607" i="6"/>
  <c r="E607" i="6"/>
  <c r="D607" i="6"/>
  <c r="C607" i="6"/>
  <c r="B607" i="6"/>
  <c r="A607" i="6"/>
  <c r="F606" i="6"/>
  <c r="E606" i="6"/>
  <c r="D606" i="6"/>
  <c r="C606" i="6"/>
  <c r="B606" i="6"/>
  <c r="A606" i="6"/>
  <c r="F605" i="6"/>
  <c r="E605" i="6"/>
  <c r="D605" i="6"/>
  <c r="C605" i="6"/>
  <c r="B605" i="6"/>
  <c r="A605" i="6"/>
  <c r="F604" i="6"/>
  <c r="E604" i="6"/>
  <c r="D604" i="6"/>
  <c r="C604" i="6"/>
  <c r="B604" i="6"/>
  <c r="A604" i="6"/>
  <c r="F603" i="6"/>
  <c r="E603" i="6"/>
  <c r="D603" i="6"/>
  <c r="C603" i="6"/>
  <c r="B603" i="6"/>
  <c r="A603" i="6"/>
  <c r="F602" i="6"/>
  <c r="E602" i="6"/>
  <c r="D602" i="6"/>
  <c r="C602" i="6"/>
  <c r="B602" i="6"/>
  <c r="A602" i="6"/>
  <c r="F601" i="6"/>
  <c r="E601" i="6"/>
  <c r="D601" i="6"/>
  <c r="C601" i="6"/>
  <c r="B601" i="6"/>
  <c r="A601" i="6"/>
  <c r="F600" i="6"/>
  <c r="E600" i="6"/>
  <c r="D600" i="6"/>
  <c r="C600" i="6"/>
  <c r="B600" i="6"/>
  <c r="A600" i="6"/>
  <c r="F599" i="6"/>
  <c r="E599" i="6"/>
  <c r="D599" i="6"/>
  <c r="C599" i="6"/>
  <c r="B599" i="6"/>
  <c r="A599" i="6"/>
  <c r="F598" i="6"/>
  <c r="E598" i="6"/>
  <c r="D598" i="6"/>
  <c r="C598" i="6"/>
  <c r="B598" i="6"/>
  <c r="A598" i="6"/>
  <c r="F597" i="6"/>
  <c r="E597" i="6"/>
  <c r="D597" i="6"/>
  <c r="C597" i="6"/>
  <c r="B597" i="6"/>
  <c r="A597" i="6"/>
  <c r="F596" i="6"/>
  <c r="E596" i="6"/>
  <c r="D596" i="6"/>
  <c r="C596" i="6"/>
  <c r="B596" i="6"/>
  <c r="A596" i="6"/>
  <c r="F595" i="6"/>
  <c r="E595" i="6"/>
  <c r="D595" i="6"/>
  <c r="C595" i="6"/>
  <c r="B595" i="6"/>
  <c r="A595" i="6"/>
  <c r="F594" i="6"/>
  <c r="E594" i="6"/>
  <c r="D594" i="6"/>
  <c r="C594" i="6"/>
  <c r="B594" i="6"/>
  <c r="A594" i="6"/>
  <c r="F593" i="6"/>
  <c r="E593" i="6"/>
  <c r="D593" i="6"/>
  <c r="C593" i="6"/>
  <c r="B593" i="6"/>
  <c r="A593" i="6"/>
  <c r="F592" i="6"/>
  <c r="E592" i="6"/>
  <c r="D592" i="6"/>
  <c r="C592" i="6"/>
  <c r="B592" i="6"/>
  <c r="A592" i="6"/>
  <c r="F591" i="6"/>
  <c r="E591" i="6"/>
  <c r="D591" i="6"/>
  <c r="C591" i="6"/>
  <c r="B591" i="6"/>
  <c r="A591" i="6"/>
  <c r="F590" i="6"/>
  <c r="E590" i="6"/>
  <c r="D590" i="6"/>
  <c r="C590" i="6"/>
  <c r="B590" i="6"/>
  <c r="A590" i="6"/>
  <c r="F589" i="6"/>
  <c r="E589" i="6"/>
  <c r="D589" i="6"/>
  <c r="C589" i="6"/>
  <c r="B589" i="6"/>
  <c r="A589" i="6"/>
  <c r="F588" i="6"/>
  <c r="E588" i="6"/>
  <c r="D588" i="6"/>
  <c r="C588" i="6"/>
  <c r="B588" i="6"/>
  <c r="A588" i="6"/>
  <c r="F587" i="6"/>
  <c r="E587" i="6"/>
  <c r="D587" i="6"/>
  <c r="C587" i="6"/>
  <c r="B587" i="6"/>
  <c r="A587" i="6"/>
  <c r="F586" i="6"/>
  <c r="E586" i="6"/>
  <c r="D586" i="6"/>
  <c r="C586" i="6"/>
  <c r="B586" i="6"/>
  <c r="A586" i="6"/>
  <c r="F585" i="6"/>
  <c r="E585" i="6"/>
  <c r="D585" i="6"/>
  <c r="C585" i="6"/>
  <c r="B585" i="6"/>
  <c r="A585" i="6"/>
  <c r="F584" i="6"/>
  <c r="E584" i="6"/>
  <c r="D584" i="6"/>
  <c r="C584" i="6"/>
  <c r="B584" i="6"/>
  <c r="A584" i="6"/>
  <c r="F583" i="6"/>
  <c r="E583" i="6"/>
  <c r="D583" i="6"/>
  <c r="C583" i="6"/>
  <c r="B583" i="6"/>
  <c r="A583" i="6"/>
  <c r="F582" i="6"/>
  <c r="E582" i="6"/>
  <c r="D582" i="6"/>
  <c r="C582" i="6"/>
  <c r="B582" i="6"/>
  <c r="A582" i="6"/>
  <c r="F581" i="6"/>
  <c r="E581" i="6"/>
  <c r="D581" i="6"/>
  <c r="C581" i="6"/>
  <c r="B581" i="6"/>
  <c r="A581" i="6"/>
  <c r="F580" i="6"/>
  <c r="E580" i="6"/>
  <c r="D580" i="6"/>
  <c r="C580" i="6"/>
  <c r="B580" i="6"/>
  <c r="A580" i="6"/>
  <c r="F579" i="6"/>
  <c r="E579" i="6"/>
  <c r="D579" i="6"/>
  <c r="C579" i="6"/>
  <c r="B579" i="6"/>
  <c r="A579" i="6"/>
  <c r="F578" i="6"/>
  <c r="E578" i="6"/>
  <c r="D578" i="6"/>
  <c r="C578" i="6"/>
  <c r="B578" i="6"/>
  <c r="A578" i="6"/>
  <c r="F577" i="6"/>
  <c r="E577" i="6"/>
  <c r="D577" i="6"/>
  <c r="C577" i="6"/>
  <c r="B577" i="6"/>
  <c r="A577" i="6"/>
  <c r="F576" i="6"/>
  <c r="E576" i="6"/>
  <c r="D576" i="6"/>
  <c r="C576" i="6"/>
  <c r="B576" i="6"/>
  <c r="A576" i="6"/>
  <c r="F575" i="6"/>
  <c r="E575" i="6"/>
  <c r="D575" i="6"/>
  <c r="C575" i="6"/>
  <c r="B575" i="6"/>
  <c r="A575" i="6"/>
  <c r="F574" i="6"/>
  <c r="E574" i="6"/>
  <c r="D574" i="6"/>
  <c r="C574" i="6"/>
  <c r="B574" i="6"/>
  <c r="A574" i="6"/>
  <c r="F573" i="6"/>
  <c r="E573" i="6"/>
  <c r="D573" i="6"/>
  <c r="C573" i="6"/>
  <c r="B573" i="6"/>
  <c r="A573" i="6"/>
  <c r="F572" i="6"/>
  <c r="E572" i="6"/>
  <c r="D572" i="6"/>
  <c r="C572" i="6"/>
  <c r="B572" i="6"/>
  <c r="A572" i="6"/>
  <c r="F571" i="6"/>
  <c r="E571" i="6"/>
  <c r="D571" i="6"/>
  <c r="C571" i="6"/>
  <c r="B571" i="6"/>
  <c r="A571" i="6"/>
  <c r="F570" i="6"/>
  <c r="E570" i="6"/>
  <c r="D570" i="6"/>
  <c r="C570" i="6"/>
  <c r="B570" i="6"/>
  <c r="A570" i="6"/>
  <c r="F569" i="6"/>
  <c r="E569" i="6"/>
  <c r="D569" i="6"/>
  <c r="C569" i="6"/>
  <c r="B569" i="6"/>
  <c r="A569" i="6"/>
  <c r="F568" i="6"/>
  <c r="E568" i="6"/>
  <c r="D568" i="6"/>
  <c r="C568" i="6"/>
  <c r="B568" i="6"/>
  <c r="A568" i="6"/>
  <c r="F567" i="6"/>
  <c r="E567" i="6"/>
  <c r="D567" i="6"/>
  <c r="C567" i="6"/>
  <c r="B567" i="6"/>
  <c r="A567" i="6"/>
  <c r="F566" i="6"/>
  <c r="E566" i="6"/>
  <c r="D566" i="6"/>
  <c r="C566" i="6"/>
  <c r="B566" i="6"/>
  <c r="A566" i="6"/>
  <c r="F565" i="6"/>
  <c r="E565" i="6"/>
  <c r="D565" i="6"/>
  <c r="C565" i="6"/>
  <c r="B565" i="6"/>
  <c r="A565" i="6"/>
  <c r="F564" i="6"/>
  <c r="E564" i="6"/>
  <c r="D564" i="6"/>
  <c r="C564" i="6"/>
  <c r="B564" i="6"/>
  <c r="A564" i="6"/>
  <c r="F563" i="6"/>
  <c r="E563" i="6"/>
  <c r="D563" i="6"/>
  <c r="C563" i="6"/>
  <c r="B563" i="6"/>
  <c r="A563" i="6"/>
  <c r="F562" i="6"/>
  <c r="E562" i="6"/>
  <c r="D562" i="6"/>
  <c r="C562" i="6"/>
  <c r="B562" i="6"/>
  <c r="A562" i="6"/>
  <c r="F561" i="6"/>
  <c r="E561" i="6"/>
  <c r="D561" i="6"/>
  <c r="C561" i="6"/>
  <c r="B561" i="6"/>
  <c r="A561" i="6"/>
  <c r="F560" i="6"/>
  <c r="E560" i="6"/>
  <c r="D560" i="6"/>
  <c r="C560" i="6"/>
  <c r="B560" i="6"/>
  <c r="A560" i="6"/>
  <c r="F559" i="6"/>
  <c r="E559" i="6"/>
  <c r="D559" i="6"/>
  <c r="C559" i="6"/>
  <c r="B559" i="6"/>
  <c r="A559" i="6"/>
  <c r="F558" i="6"/>
  <c r="E558" i="6"/>
  <c r="D558" i="6"/>
  <c r="C558" i="6"/>
  <c r="B558" i="6"/>
  <c r="A558" i="6"/>
  <c r="F557" i="6"/>
  <c r="E557" i="6"/>
  <c r="D557" i="6"/>
  <c r="C557" i="6"/>
  <c r="B557" i="6"/>
  <c r="A557" i="6"/>
  <c r="F556" i="6"/>
  <c r="E556" i="6"/>
  <c r="D556" i="6"/>
  <c r="C556" i="6"/>
  <c r="B556" i="6"/>
  <c r="A556" i="6"/>
  <c r="F555" i="6"/>
  <c r="E555" i="6"/>
  <c r="D555" i="6"/>
  <c r="C555" i="6"/>
  <c r="B555" i="6"/>
  <c r="A555" i="6"/>
  <c r="F554" i="6"/>
  <c r="E554" i="6"/>
  <c r="D554" i="6"/>
  <c r="C554" i="6"/>
  <c r="B554" i="6"/>
  <c r="A554" i="6"/>
  <c r="F553" i="6"/>
  <c r="E553" i="6"/>
  <c r="D553" i="6"/>
  <c r="C553" i="6"/>
  <c r="B553" i="6"/>
  <c r="A553" i="6"/>
  <c r="F552" i="6"/>
  <c r="E552" i="6"/>
  <c r="D552" i="6"/>
  <c r="C552" i="6"/>
  <c r="B552" i="6"/>
  <c r="A552" i="6"/>
  <c r="F551" i="6"/>
  <c r="E551" i="6"/>
  <c r="D551" i="6"/>
  <c r="C551" i="6"/>
  <c r="B551" i="6"/>
  <c r="A551" i="6"/>
  <c r="F550" i="6"/>
  <c r="E550" i="6"/>
  <c r="D550" i="6"/>
  <c r="C550" i="6"/>
  <c r="B550" i="6"/>
  <c r="A550" i="6"/>
  <c r="F549" i="6"/>
  <c r="E549" i="6"/>
  <c r="D549" i="6"/>
  <c r="C549" i="6"/>
  <c r="B549" i="6"/>
  <c r="A549" i="6"/>
  <c r="F548" i="6"/>
  <c r="E548" i="6"/>
  <c r="D548" i="6"/>
  <c r="C548" i="6"/>
  <c r="B548" i="6"/>
  <c r="A548" i="6"/>
  <c r="F547" i="6"/>
  <c r="E547" i="6"/>
  <c r="D547" i="6"/>
  <c r="C547" i="6"/>
  <c r="B547" i="6"/>
  <c r="A547" i="6"/>
  <c r="F546" i="6"/>
  <c r="E546" i="6"/>
  <c r="D546" i="6"/>
  <c r="C546" i="6"/>
  <c r="B546" i="6"/>
  <c r="A546" i="6"/>
  <c r="F545" i="6"/>
  <c r="E545" i="6"/>
  <c r="D545" i="6"/>
  <c r="C545" i="6"/>
  <c r="B545" i="6"/>
  <c r="A545" i="6"/>
  <c r="F544" i="6"/>
  <c r="E544" i="6"/>
  <c r="D544" i="6"/>
  <c r="C544" i="6"/>
  <c r="B544" i="6"/>
  <c r="A544" i="6"/>
  <c r="F543" i="6"/>
  <c r="E543" i="6"/>
  <c r="D543" i="6"/>
  <c r="C543" i="6"/>
  <c r="B543" i="6"/>
  <c r="A543" i="6"/>
  <c r="F542" i="6"/>
  <c r="E542" i="6"/>
  <c r="D542" i="6"/>
  <c r="C542" i="6"/>
  <c r="B542" i="6"/>
  <c r="A542" i="6"/>
  <c r="F541" i="6"/>
  <c r="E541" i="6"/>
  <c r="D541" i="6"/>
  <c r="C541" i="6"/>
  <c r="B541" i="6"/>
  <c r="A541" i="6"/>
  <c r="F540" i="6"/>
  <c r="E540" i="6"/>
  <c r="D540" i="6"/>
  <c r="C540" i="6"/>
  <c r="B540" i="6"/>
  <c r="A540" i="6"/>
  <c r="F539" i="6"/>
  <c r="E539" i="6"/>
  <c r="D539" i="6"/>
  <c r="C539" i="6"/>
  <c r="B539" i="6"/>
  <c r="A539" i="6"/>
  <c r="F538" i="6"/>
  <c r="E538" i="6"/>
  <c r="D538" i="6"/>
  <c r="C538" i="6"/>
  <c r="B538" i="6"/>
  <c r="A538" i="6"/>
  <c r="F537" i="6"/>
  <c r="E537" i="6"/>
  <c r="D537" i="6"/>
  <c r="C537" i="6"/>
  <c r="B537" i="6"/>
  <c r="A537" i="6"/>
  <c r="F536" i="6"/>
  <c r="E536" i="6"/>
  <c r="D536" i="6"/>
  <c r="C536" i="6"/>
  <c r="B536" i="6"/>
  <c r="A536" i="6"/>
  <c r="F535" i="6"/>
  <c r="E535" i="6"/>
  <c r="D535" i="6"/>
  <c r="C535" i="6"/>
  <c r="B535" i="6"/>
  <c r="A535" i="6"/>
  <c r="F534" i="6"/>
  <c r="E534" i="6"/>
  <c r="D534" i="6"/>
  <c r="C534" i="6"/>
  <c r="B534" i="6"/>
  <c r="A534" i="6"/>
  <c r="F533" i="6"/>
  <c r="E533" i="6"/>
  <c r="D533" i="6"/>
  <c r="C533" i="6"/>
  <c r="B533" i="6"/>
  <c r="A533" i="6"/>
  <c r="F532" i="6"/>
  <c r="E532" i="6"/>
  <c r="D532" i="6"/>
  <c r="C532" i="6"/>
  <c r="F531" i="6"/>
  <c r="E531" i="6"/>
  <c r="D531" i="6"/>
  <c r="C531" i="6"/>
  <c r="B531" i="6"/>
  <c r="A531" i="6"/>
  <c r="F530" i="6"/>
  <c r="E530" i="6"/>
  <c r="D530" i="6"/>
  <c r="C530" i="6"/>
  <c r="B530" i="6"/>
  <c r="A530" i="6"/>
  <c r="F529" i="6"/>
  <c r="E529" i="6"/>
  <c r="D529" i="6"/>
  <c r="C529" i="6"/>
  <c r="B529" i="6"/>
  <c r="A529" i="6"/>
  <c r="F528" i="6"/>
  <c r="E528" i="6"/>
  <c r="D528" i="6"/>
  <c r="C528" i="6"/>
  <c r="B528" i="6"/>
  <c r="A528" i="6"/>
  <c r="F527" i="6"/>
  <c r="E527" i="6"/>
  <c r="D527" i="6"/>
  <c r="C527" i="6"/>
  <c r="B527" i="6"/>
  <c r="A527" i="6"/>
  <c r="F526" i="6"/>
  <c r="E526" i="6"/>
  <c r="D526" i="6"/>
  <c r="C526" i="6"/>
  <c r="B526" i="6"/>
  <c r="A526" i="6"/>
  <c r="F525" i="6"/>
  <c r="E525" i="6"/>
  <c r="D525" i="6"/>
  <c r="C525" i="6"/>
  <c r="B525" i="6"/>
  <c r="A525" i="6"/>
  <c r="F524" i="6"/>
  <c r="E524" i="6"/>
  <c r="D524" i="6"/>
  <c r="C524" i="6"/>
  <c r="B524" i="6"/>
  <c r="A524" i="6"/>
  <c r="F523" i="6"/>
  <c r="E523" i="6"/>
  <c r="D523" i="6"/>
  <c r="C523" i="6"/>
  <c r="B523" i="6"/>
  <c r="A523" i="6"/>
  <c r="F522" i="6"/>
  <c r="E522" i="6"/>
  <c r="D522" i="6"/>
  <c r="C522" i="6"/>
  <c r="B522" i="6"/>
  <c r="A522" i="6"/>
  <c r="F521" i="6"/>
  <c r="E521" i="6"/>
  <c r="D521" i="6"/>
  <c r="C521" i="6"/>
  <c r="B521" i="6"/>
  <c r="A521" i="6"/>
  <c r="F520" i="6"/>
  <c r="E520" i="6"/>
  <c r="D520" i="6"/>
  <c r="C520" i="6"/>
  <c r="B520" i="6"/>
  <c r="A520" i="6"/>
  <c r="F519" i="6"/>
  <c r="E519" i="6"/>
  <c r="D519" i="6"/>
  <c r="C519" i="6"/>
  <c r="F518" i="6"/>
  <c r="E518" i="6"/>
  <c r="D518" i="6"/>
  <c r="C518" i="6"/>
  <c r="B518" i="6"/>
  <c r="A518" i="6"/>
  <c r="F517" i="6"/>
  <c r="E517" i="6"/>
  <c r="D517" i="6"/>
  <c r="C517" i="6"/>
  <c r="B517" i="6"/>
  <c r="A517" i="6"/>
  <c r="F516" i="6"/>
  <c r="E516" i="6"/>
  <c r="D516" i="6"/>
  <c r="C516" i="6"/>
  <c r="B516" i="6"/>
  <c r="A516" i="6"/>
  <c r="F515" i="6"/>
  <c r="E515" i="6"/>
  <c r="D515" i="6"/>
  <c r="C515" i="6"/>
  <c r="B515" i="6"/>
  <c r="A515" i="6"/>
  <c r="F514" i="6"/>
  <c r="E514" i="6"/>
  <c r="D514" i="6"/>
  <c r="C514" i="6"/>
  <c r="B514" i="6"/>
  <c r="A514" i="6"/>
  <c r="F513" i="6"/>
  <c r="E513" i="6"/>
  <c r="D513" i="6"/>
  <c r="C513" i="6"/>
  <c r="B513" i="6"/>
  <c r="A513" i="6"/>
  <c r="F512" i="6"/>
  <c r="E512" i="6"/>
  <c r="D512" i="6"/>
  <c r="C512" i="6"/>
  <c r="B512" i="6"/>
  <c r="A512" i="6"/>
  <c r="F511" i="6"/>
  <c r="E511" i="6"/>
  <c r="D511" i="6"/>
  <c r="C511" i="6"/>
  <c r="B511" i="6"/>
  <c r="A511" i="6"/>
  <c r="F510" i="6"/>
  <c r="E510" i="6"/>
  <c r="D510" i="6"/>
  <c r="C510" i="6"/>
  <c r="B510" i="6"/>
  <c r="A510" i="6"/>
  <c r="F509" i="6"/>
  <c r="E509" i="6"/>
  <c r="D509" i="6"/>
  <c r="C509" i="6"/>
  <c r="B509" i="6"/>
  <c r="A509" i="6"/>
  <c r="F508" i="6"/>
  <c r="E508" i="6"/>
  <c r="D508" i="6"/>
  <c r="C508" i="6"/>
  <c r="B508" i="6"/>
  <c r="A508" i="6"/>
  <c r="F507" i="6"/>
  <c r="E507" i="6"/>
  <c r="D507" i="6"/>
  <c r="C507" i="6"/>
  <c r="B507" i="6"/>
  <c r="A507" i="6"/>
  <c r="F506" i="6"/>
  <c r="E506" i="6"/>
  <c r="D506" i="6"/>
  <c r="C506" i="6"/>
  <c r="B506" i="6"/>
  <c r="A506" i="6"/>
  <c r="F505" i="6"/>
  <c r="E505" i="6"/>
  <c r="D505" i="6"/>
  <c r="C505" i="6"/>
  <c r="B505" i="6"/>
  <c r="A505" i="6"/>
  <c r="F504" i="6"/>
  <c r="E504" i="6"/>
  <c r="D504" i="6"/>
  <c r="C504" i="6"/>
  <c r="B504" i="6"/>
  <c r="A504" i="6"/>
  <c r="F503" i="6"/>
  <c r="E503" i="6"/>
  <c r="D503" i="6"/>
  <c r="C503" i="6"/>
  <c r="B503" i="6"/>
  <c r="A503" i="6"/>
  <c r="F502" i="6"/>
  <c r="E502" i="6"/>
  <c r="D502" i="6"/>
  <c r="C502" i="6"/>
  <c r="B502" i="6"/>
  <c r="A502" i="6"/>
  <c r="F501" i="6"/>
  <c r="E501" i="6"/>
  <c r="D501" i="6"/>
  <c r="C501" i="6"/>
  <c r="B501" i="6"/>
  <c r="A501" i="6"/>
  <c r="F500" i="6"/>
  <c r="E500" i="6"/>
  <c r="D500" i="6"/>
  <c r="C500" i="6"/>
  <c r="B500" i="6"/>
  <c r="A500" i="6"/>
  <c r="F499" i="6"/>
  <c r="E499" i="6"/>
  <c r="D499" i="6"/>
  <c r="C499" i="6"/>
  <c r="B499" i="6"/>
  <c r="A499" i="6"/>
  <c r="F498" i="6"/>
  <c r="E498" i="6"/>
  <c r="D498" i="6"/>
  <c r="C498" i="6"/>
  <c r="B498" i="6"/>
  <c r="A498" i="6"/>
  <c r="F497" i="6"/>
  <c r="E497" i="6"/>
  <c r="D497" i="6"/>
  <c r="C497" i="6"/>
  <c r="B497" i="6"/>
  <c r="A497" i="6"/>
  <c r="F496" i="6"/>
  <c r="E496" i="6"/>
  <c r="D496" i="6"/>
  <c r="C496" i="6"/>
  <c r="B496" i="6"/>
  <c r="A496" i="6"/>
  <c r="F495" i="6"/>
  <c r="E495" i="6"/>
  <c r="D495" i="6"/>
  <c r="C495" i="6"/>
  <c r="B495" i="6"/>
  <c r="A495" i="6"/>
  <c r="F494" i="6"/>
  <c r="E494" i="6"/>
  <c r="D494" i="6"/>
  <c r="C494" i="6"/>
  <c r="B494" i="6"/>
  <c r="A494" i="6"/>
  <c r="F493" i="6"/>
  <c r="E493" i="6"/>
  <c r="D493" i="6"/>
  <c r="C493" i="6"/>
  <c r="B493" i="6"/>
  <c r="A493" i="6"/>
  <c r="F492" i="6"/>
  <c r="E492" i="6"/>
  <c r="D492" i="6"/>
  <c r="C492" i="6"/>
  <c r="B492" i="6"/>
  <c r="A492" i="6"/>
  <c r="F491" i="6"/>
  <c r="E491" i="6"/>
  <c r="D491" i="6"/>
  <c r="C491" i="6"/>
  <c r="B491" i="6"/>
  <c r="A491" i="6"/>
  <c r="F490" i="6"/>
  <c r="E490" i="6"/>
  <c r="D490" i="6"/>
  <c r="C490" i="6"/>
  <c r="B490" i="6"/>
  <c r="A490" i="6"/>
  <c r="F489" i="6"/>
  <c r="E489" i="6"/>
  <c r="D489" i="6"/>
  <c r="C489" i="6"/>
  <c r="B489" i="6"/>
  <c r="A489" i="6"/>
  <c r="F488" i="6"/>
  <c r="E488" i="6"/>
  <c r="D488" i="6"/>
  <c r="C488" i="6"/>
  <c r="B488" i="6"/>
  <c r="A488" i="6"/>
  <c r="F487" i="6"/>
  <c r="E487" i="6"/>
  <c r="D487" i="6"/>
  <c r="C487" i="6"/>
  <c r="B487" i="6"/>
  <c r="A487" i="6"/>
  <c r="F486" i="6"/>
  <c r="E486" i="6"/>
  <c r="D486" i="6"/>
  <c r="C486" i="6"/>
  <c r="B486" i="6"/>
  <c r="A486" i="6"/>
  <c r="F485" i="6"/>
  <c r="E485" i="6"/>
  <c r="D485" i="6"/>
  <c r="C485" i="6"/>
  <c r="B485" i="6"/>
  <c r="A485" i="6"/>
  <c r="F484" i="6"/>
  <c r="E484" i="6"/>
  <c r="D484" i="6"/>
  <c r="C484" i="6"/>
  <c r="B484" i="6"/>
  <c r="A484" i="6"/>
  <c r="F483" i="6"/>
  <c r="E483" i="6"/>
  <c r="D483" i="6"/>
  <c r="C483" i="6"/>
  <c r="B483" i="6"/>
  <c r="A483" i="6"/>
  <c r="F482" i="6"/>
  <c r="E482" i="6"/>
  <c r="D482" i="6"/>
  <c r="C482" i="6"/>
  <c r="B482" i="6"/>
  <c r="A482" i="6"/>
  <c r="F481" i="6"/>
  <c r="E481" i="6"/>
  <c r="D481" i="6"/>
  <c r="C481" i="6"/>
  <c r="B481" i="6"/>
  <c r="A481" i="6"/>
  <c r="F480" i="6"/>
  <c r="E480" i="6"/>
  <c r="D480" i="6"/>
  <c r="C480" i="6"/>
  <c r="B480" i="6"/>
  <c r="A480" i="6"/>
  <c r="F479" i="6"/>
  <c r="E479" i="6"/>
  <c r="D479" i="6"/>
  <c r="C479" i="6"/>
  <c r="B479" i="6"/>
  <c r="A479" i="6"/>
  <c r="F478" i="6"/>
  <c r="E478" i="6"/>
  <c r="D478" i="6"/>
  <c r="C478" i="6"/>
  <c r="B478" i="6"/>
  <c r="A478" i="6"/>
  <c r="F477" i="6"/>
  <c r="E477" i="6"/>
  <c r="D477" i="6"/>
  <c r="C477" i="6"/>
  <c r="B477" i="6"/>
  <c r="A477" i="6"/>
  <c r="F476" i="6"/>
  <c r="E476" i="6"/>
  <c r="D476" i="6"/>
  <c r="C476" i="6"/>
  <c r="B476" i="6"/>
  <c r="A476" i="6"/>
  <c r="F475" i="6"/>
  <c r="E475" i="6"/>
  <c r="D475" i="6"/>
  <c r="C475" i="6"/>
  <c r="F474" i="6"/>
  <c r="E474" i="6"/>
  <c r="D474" i="6"/>
  <c r="C474" i="6"/>
  <c r="B474" i="6"/>
  <c r="A474" i="6"/>
  <c r="F473" i="6"/>
  <c r="E473" i="6"/>
  <c r="D473" i="6"/>
  <c r="C473" i="6"/>
  <c r="B473" i="6"/>
  <c r="A473" i="6"/>
  <c r="F472" i="6"/>
  <c r="E472" i="6"/>
  <c r="D472" i="6"/>
  <c r="C472" i="6"/>
  <c r="B472" i="6"/>
  <c r="A472" i="6"/>
  <c r="F471" i="6"/>
  <c r="E471" i="6"/>
  <c r="D471" i="6"/>
  <c r="C471" i="6"/>
  <c r="B471" i="6"/>
  <c r="A471" i="6"/>
  <c r="F470" i="6"/>
  <c r="E470" i="6"/>
  <c r="D470" i="6"/>
  <c r="C470" i="6"/>
  <c r="B470" i="6"/>
  <c r="A470" i="6"/>
  <c r="F469" i="6"/>
  <c r="E469" i="6"/>
  <c r="D469" i="6"/>
  <c r="C469" i="6"/>
  <c r="B469" i="6"/>
  <c r="A469" i="6"/>
  <c r="F468" i="6"/>
  <c r="E468" i="6"/>
  <c r="D468" i="6"/>
  <c r="C468" i="6"/>
  <c r="B468" i="6"/>
  <c r="A468" i="6"/>
  <c r="F467" i="6"/>
  <c r="E467" i="6"/>
  <c r="D467" i="6"/>
  <c r="C467" i="6"/>
  <c r="B467" i="6"/>
  <c r="A467" i="6"/>
  <c r="F466" i="6"/>
  <c r="E466" i="6"/>
  <c r="D466" i="6"/>
  <c r="C466" i="6"/>
  <c r="B466" i="6"/>
  <c r="A466" i="6"/>
  <c r="F465" i="6"/>
  <c r="E465" i="6"/>
  <c r="D465" i="6"/>
  <c r="C465" i="6"/>
  <c r="B465" i="6"/>
  <c r="A465" i="6"/>
  <c r="F464" i="6"/>
  <c r="E464" i="6"/>
  <c r="D464" i="6"/>
  <c r="C464" i="6"/>
  <c r="B464" i="6"/>
  <c r="A464" i="6"/>
  <c r="F463" i="6"/>
  <c r="E463" i="6"/>
  <c r="D463" i="6"/>
  <c r="C463" i="6"/>
  <c r="B463" i="6"/>
  <c r="A463" i="6"/>
  <c r="F462" i="6"/>
  <c r="E462" i="6"/>
  <c r="D462" i="6"/>
  <c r="C462" i="6"/>
  <c r="B462" i="6"/>
  <c r="A462" i="6"/>
  <c r="F461" i="6"/>
  <c r="E461" i="6"/>
  <c r="D461" i="6"/>
  <c r="C461" i="6"/>
  <c r="B461" i="6"/>
  <c r="A461" i="6"/>
  <c r="F460" i="6"/>
  <c r="E460" i="6"/>
  <c r="D460" i="6"/>
  <c r="C460" i="6"/>
  <c r="B460" i="6"/>
  <c r="A460" i="6"/>
  <c r="F459" i="6"/>
  <c r="E459" i="6"/>
  <c r="D459" i="6"/>
  <c r="C459" i="6"/>
  <c r="B459" i="6"/>
  <c r="A459" i="6"/>
  <c r="F458" i="6"/>
  <c r="E458" i="6"/>
  <c r="D458" i="6"/>
  <c r="C458" i="6"/>
  <c r="B458" i="6"/>
  <c r="A458" i="6"/>
  <c r="F457" i="6"/>
  <c r="E457" i="6"/>
  <c r="D457" i="6"/>
  <c r="C457" i="6"/>
  <c r="B457" i="6"/>
  <c r="A457" i="6"/>
  <c r="F456" i="6"/>
  <c r="E456" i="6"/>
  <c r="D456" i="6"/>
  <c r="C456" i="6"/>
  <c r="B456" i="6"/>
  <c r="A456" i="6"/>
  <c r="F455" i="6"/>
  <c r="E455" i="6"/>
  <c r="D455" i="6"/>
  <c r="C455" i="6"/>
  <c r="B455" i="6"/>
  <c r="A455" i="6"/>
  <c r="F454" i="6"/>
  <c r="E454" i="6"/>
  <c r="D454" i="6"/>
  <c r="C454" i="6"/>
  <c r="B454" i="6"/>
  <c r="A454" i="6"/>
  <c r="F453" i="6"/>
  <c r="E453" i="6"/>
  <c r="D453" i="6"/>
  <c r="C453" i="6"/>
  <c r="B453" i="6"/>
  <c r="A453" i="6"/>
  <c r="F452" i="6"/>
  <c r="E452" i="6"/>
  <c r="D452" i="6"/>
  <c r="C452" i="6"/>
  <c r="B452" i="6"/>
  <c r="A452" i="6"/>
  <c r="F451" i="6"/>
  <c r="E451" i="6"/>
  <c r="D451" i="6"/>
  <c r="C451" i="6"/>
  <c r="B451" i="6"/>
  <c r="A451" i="6"/>
  <c r="F450" i="6"/>
  <c r="E450" i="6"/>
  <c r="D450" i="6"/>
  <c r="C450" i="6"/>
  <c r="B450" i="6"/>
  <c r="A450" i="6"/>
  <c r="F449" i="6"/>
  <c r="E449" i="6"/>
  <c r="D449" i="6"/>
  <c r="C449" i="6"/>
  <c r="B449" i="6"/>
  <c r="A449" i="6"/>
  <c r="F448" i="6"/>
  <c r="E448" i="6"/>
  <c r="D448" i="6"/>
  <c r="C448" i="6"/>
  <c r="B448" i="6"/>
  <c r="A448" i="6"/>
  <c r="F447" i="6"/>
  <c r="E447" i="6"/>
  <c r="D447" i="6"/>
  <c r="C447" i="6"/>
  <c r="B447" i="6"/>
  <c r="A447" i="6"/>
  <c r="F446" i="6"/>
  <c r="E446" i="6"/>
  <c r="D446" i="6"/>
  <c r="C446" i="6"/>
  <c r="B446" i="6"/>
  <c r="A446" i="6"/>
  <c r="F445" i="6"/>
  <c r="E445" i="6"/>
  <c r="D445" i="6"/>
  <c r="C445" i="6"/>
  <c r="B445" i="6"/>
  <c r="A445" i="6"/>
  <c r="F444" i="6"/>
  <c r="E444" i="6"/>
  <c r="D444" i="6"/>
  <c r="C444" i="6"/>
  <c r="B444" i="6"/>
  <c r="A444" i="6"/>
  <c r="F443" i="6"/>
  <c r="E443" i="6"/>
  <c r="D443" i="6"/>
  <c r="C443" i="6"/>
  <c r="B443" i="6"/>
  <c r="A443" i="6"/>
  <c r="F442" i="6"/>
  <c r="E442" i="6"/>
  <c r="D442" i="6"/>
  <c r="C442" i="6"/>
  <c r="B442" i="6"/>
  <c r="A442" i="6"/>
  <c r="F441" i="6"/>
  <c r="E441" i="6"/>
  <c r="D441" i="6"/>
  <c r="C441" i="6"/>
  <c r="B441" i="6"/>
  <c r="A441" i="6"/>
  <c r="F440" i="6"/>
  <c r="E440" i="6"/>
  <c r="D440" i="6"/>
  <c r="C440" i="6"/>
  <c r="B440" i="6"/>
  <c r="A440" i="6"/>
  <c r="F439" i="6"/>
  <c r="E439" i="6"/>
  <c r="D439" i="6"/>
  <c r="C439" i="6"/>
  <c r="B439" i="6"/>
  <c r="A439" i="6"/>
  <c r="F438" i="6"/>
  <c r="E438" i="6"/>
  <c r="D438" i="6"/>
  <c r="C438" i="6"/>
  <c r="B438" i="6"/>
  <c r="A438" i="6"/>
  <c r="F437" i="6"/>
  <c r="E437" i="6"/>
  <c r="D437" i="6"/>
  <c r="C437" i="6"/>
  <c r="B437" i="6"/>
  <c r="A437" i="6"/>
  <c r="F436" i="6"/>
  <c r="E436" i="6"/>
  <c r="D436" i="6"/>
  <c r="C436" i="6"/>
  <c r="B436" i="6"/>
  <c r="A436" i="6"/>
  <c r="F435" i="6"/>
  <c r="E435" i="6"/>
  <c r="D435" i="6"/>
  <c r="C435" i="6"/>
  <c r="B435" i="6"/>
  <c r="A435" i="6"/>
  <c r="F434" i="6"/>
  <c r="E434" i="6"/>
  <c r="D434" i="6"/>
  <c r="C434" i="6"/>
  <c r="B434" i="6"/>
  <c r="A434" i="6"/>
  <c r="F433" i="6"/>
  <c r="E433" i="6"/>
  <c r="D433" i="6"/>
  <c r="C433" i="6"/>
  <c r="B433" i="6"/>
  <c r="A433" i="6"/>
  <c r="F432" i="6"/>
  <c r="E432" i="6"/>
  <c r="D432" i="6"/>
  <c r="C432" i="6"/>
  <c r="B432" i="6"/>
  <c r="A432" i="6"/>
  <c r="F431" i="6"/>
  <c r="E431" i="6"/>
  <c r="D431" i="6"/>
  <c r="C431" i="6"/>
  <c r="B431" i="6"/>
  <c r="A431" i="6"/>
  <c r="F430" i="6"/>
  <c r="E430" i="6"/>
  <c r="D430" i="6"/>
  <c r="C430" i="6"/>
  <c r="B430" i="6"/>
  <c r="A430" i="6"/>
  <c r="F429" i="6"/>
  <c r="E429" i="6"/>
  <c r="D429" i="6"/>
  <c r="C429" i="6"/>
  <c r="B429" i="6"/>
  <c r="A429" i="6"/>
  <c r="F428" i="6"/>
  <c r="E428" i="6"/>
  <c r="D428" i="6"/>
  <c r="C428" i="6"/>
  <c r="B428" i="6"/>
  <c r="A428" i="6"/>
  <c r="F427" i="6"/>
  <c r="E427" i="6"/>
  <c r="D427" i="6"/>
  <c r="C427" i="6"/>
  <c r="B427" i="6"/>
  <c r="A427" i="6"/>
  <c r="F426" i="6"/>
  <c r="E426" i="6"/>
  <c r="D426" i="6"/>
  <c r="C426" i="6"/>
  <c r="B426" i="6"/>
  <c r="A426" i="6"/>
  <c r="F425" i="6"/>
  <c r="E425" i="6"/>
  <c r="D425" i="6"/>
  <c r="C425" i="6"/>
  <c r="B425" i="6"/>
  <c r="A425" i="6"/>
  <c r="F424" i="6"/>
  <c r="E424" i="6"/>
  <c r="D424" i="6"/>
  <c r="C424" i="6"/>
  <c r="B424" i="6"/>
  <c r="A424" i="6"/>
  <c r="F423" i="6"/>
  <c r="E423" i="6"/>
  <c r="D423" i="6"/>
  <c r="C423" i="6"/>
  <c r="B423" i="6"/>
  <c r="A423" i="6"/>
  <c r="F422" i="6"/>
  <c r="E422" i="6"/>
  <c r="D422" i="6"/>
  <c r="C422" i="6"/>
  <c r="B422" i="6"/>
  <c r="A422" i="6"/>
  <c r="F421" i="6"/>
  <c r="E421" i="6"/>
  <c r="D421" i="6"/>
  <c r="C421" i="6"/>
  <c r="B421" i="6"/>
  <c r="A421" i="6"/>
  <c r="F420" i="6"/>
  <c r="E420" i="6"/>
  <c r="D420" i="6"/>
  <c r="C420" i="6"/>
  <c r="B420" i="6"/>
  <c r="A420" i="6"/>
  <c r="F419" i="6"/>
  <c r="E419" i="6"/>
  <c r="D419" i="6"/>
  <c r="C419" i="6"/>
  <c r="B419" i="6"/>
  <c r="A419" i="6"/>
  <c r="F418" i="6"/>
  <c r="E418" i="6"/>
  <c r="D418" i="6"/>
  <c r="C418" i="6"/>
  <c r="B418" i="6"/>
  <c r="A418" i="6"/>
  <c r="F417" i="6"/>
  <c r="E417" i="6"/>
  <c r="D417" i="6"/>
  <c r="C417" i="6"/>
  <c r="B417" i="6"/>
  <c r="A417" i="6"/>
  <c r="F416" i="6"/>
  <c r="E416" i="6"/>
  <c r="D416" i="6"/>
  <c r="C416" i="6"/>
  <c r="B416" i="6"/>
  <c r="A416" i="6"/>
  <c r="F415" i="6"/>
  <c r="E415" i="6"/>
  <c r="D415" i="6"/>
  <c r="C415" i="6"/>
  <c r="B415" i="6"/>
  <c r="A415" i="6"/>
  <c r="F414" i="6"/>
  <c r="E414" i="6"/>
  <c r="D414" i="6"/>
  <c r="C414" i="6"/>
  <c r="B414" i="6"/>
  <c r="A414" i="6"/>
  <c r="F413" i="6"/>
  <c r="E413" i="6"/>
  <c r="D413" i="6"/>
  <c r="C413" i="6"/>
  <c r="B413" i="6"/>
  <c r="A413" i="6"/>
  <c r="F412" i="6"/>
  <c r="E412" i="6"/>
  <c r="D412" i="6"/>
  <c r="C412" i="6"/>
  <c r="B412" i="6"/>
  <c r="A412" i="6"/>
  <c r="F411" i="6"/>
  <c r="E411" i="6"/>
  <c r="D411" i="6"/>
  <c r="C411" i="6"/>
  <c r="B411" i="6"/>
  <c r="A411" i="6"/>
  <c r="F410" i="6"/>
  <c r="E410" i="6"/>
  <c r="D410" i="6"/>
  <c r="C410" i="6"/>
  <c r="B410" i="6"/>
  <c r="A410" i="6"/>
  <c r="F409" i="6"/>
  <c r="E409" i="6"/>
  <c r="D409" i="6"/>
  <c r="C409" i="6"/>
  <c r="B409" i="6"/>
  <c r="A409" i="6"/>
  <c r="F408" i="6"/>
  <c r="E408" i="6"/>
  <c r="D408" i="6"/>
  <c r="C408" i="6"/>
  <c r="B408" i="6"/>
  <c r="A408" i="6"/>
  <c r="F407" i="6"/>
  <c r="E407" i="6"/>
  <c r="D407" i="6"/>
  <c r="C407" i="6"/>
  <c r="B407" i="6"/>
  <c r="A407" i="6"/>
  <c r="F406" i="6"/>
  <c r="E406" i="6"/>
  <c r="D406" i="6"/>
  <c r="C406" i="6"/>
  <c r="B406" i="6"/>
  <c r="A406" i="6"/>
  <c r="F405" i="6"/>
  <c r="E405" i="6"/>
  <c r="D405" i="6"/>
  <c r="C405" i="6"/>
  <c r="B405" i="6"/>
  <c r="A405" i="6"/>
  <c r="F404" i="6"/>
  <c r="E404" i="6"/>
  <c r="D404" i="6"/>
  <c r="C404" i="6"/>
  <c r="B404" i="6"/>
  <c r="A404" i="6"/>
  <c r="F403" i="6"/>
  <c r="E403" i="6"/>
  <c r="D403" i="6"/>
  <c r="C403" i="6"/>
  <c r="B403" i="6"/>
  <c r="A403" i="6"/>
  <c r="F402" i="6"/>
  <c r="E402" i="6"/>
  <c r="D402" i="6"/>
  <c r="C402" i="6"/>
  <c r="F401" i="6"/>
  <c r="E401" i="6"/>
  <c r="D401" i="6"/>
  <c r="C401" i="6"/>
  <c r="B401" i="6"/>
  <c r="A401" i="6"/>
  <c r="F400" i="6"/>
  <c r="E400" i="6"/>
  <c r="D400" i="6"/>
  <c r="C400" i="6"/>
  <c r="B400" i="6"/>
  <c r="A400" i="6"/>
  <c r="F399" i="6"/>
  <c r="E399" i="6"/>
  <c r="D399" i="6"/>
  <c r="C399" i="6"/>
  <c r="B399" i="6"/>
  <c r="A399" i="6"/>
  <c r="F398" i="6"/>
  <c r="E398" i="6"/>
  <c r="D398" i="6"/>
  <c r="C398" i="6"/>
  <c r="B398" i="6"/>
  <c r="A398" i="6"/>
  <c r="F397" i="6"/>
  <c r="E397" i="6"/>
  <c r="D397" i="6"/>
  <c r="C397" i="6"/>
  <c r="B397" i="6"/>
  <c r="A397" i="6"/>
  <c r="F396" i="6"/>
  <c r="E396" i="6"/>
  <c r="D396" i="6"/>
  <c r="C396" i="6"/>
  <c r="B396" i="6"/>
  <c r="A396" i="6"/>
  <c r="F395" i="6"/>
  <c r="E395" i="6"/>
  <c r="D395" i="6"/>
  <c r="C395" i="6"/>
  <c r="B395" i="6"/>
  <c r="A395" i="6"/>
  <c r="F394" i="6"/>
  <c r="E394" i="6"/>
  <c r="D394" i="6"/>
  <c r="C394" i="6"/>
  <c r="B394" i="6"/>
  <c r="A394" i="6"/>
  <c r="F393" i="6"/>
  <c r="E393" i="6"/>
  <c r="D393" i="6"/>
  <c r="C393" i="6"/>
  <c r="B393" i="6"/>
  <c r="A393" i="6"/>
  <c r="F392" i="6"/>
  <c r="E392" i="6"/>
  <c r="D392" i="6"/>
  <c r="C392" i="6"/>
  <c r="B392" i="6"/>
  <c r="A392" i="6"/>
  <c r="F391" i="6"/>
  <c r="E391" i="6"/>
  <c r="D391" i="6"/>
  <c r="C391" i="6"/>
  <c r="B391" i="6"/>
  <c r="A391" i="6"/>
  <c r="F390" i="6"/>
  <c r="E390" i="6"/>
  <c r="D390" i="6"/>
  <c r="C390" i="6"/>
  <c r="B390" i="6"/>
  <c r="A390" i="6"/>
  <c r="F389" i="6"/>
  <c r="E389" i="6"/>
  <c r="D389" i="6"/>
  <c r="C389" i="6"/>
  <c r="B389" i="6"/>
  <c r="A389" i="6"/>
  <c r="F388" i="6"/>
  <c r="E388" i="6"/>
  <c r="D388" i="6"/>
  <c r="C388" i="6"/>
  <c r="B388" i="6"/>
  <c r="A388" i="6"/>
  <c r="F387" i="6"/>
  <c r="E387" i="6"/>
  <c r="D387" i="6"/>
  <c r="C387" i="6"/>
  <c r="B387" i="6"/>
  <c r="A387" i="6"/>
  <c r="F386" i="6"/>
  <c r="E386" i="6"/>
  <c r="D386" i="6"/>
  <c r="C386" i="6"/>
  <c r="B386" i="6"/>
  <c r="A386" i="6"/>
  <c r="F385" i="6"/>
  <c r="E385" i="6"/>
  <c r="D385" i="6"/>
  <c r="C385" i="6"/>
  <c r="B385" i="6"/>
  <c r="A385" i="6"/>
  <c r="F384" i="6"/>
  <c r="E384" i="6"/>
  <c r="D384" i="6"/>
  <c r="C384" i="6"/>
  <c r="B384" i="6"/>
  <c r="A384" i="6"/>
  <c r="F383" i="6"/>
  <c r="E383" i="6"/>
  <c r="D383" i="6"/>
  <c r="C383" i="6"/>
  <c r="B383" i="6"/>
  <c r="A383" i="6"/>
  <c r="F382" i="6"/>
  <c r="E382" i="6"/>
  <c r="D382" i="6"/>
  <c r="C382" i="6"/>
  <c r="B382" i="6"/>
  <c r="A382" i="6"/>
  <c r="F381" i="6"/>
  <c r="E381" i="6"/>
  <c r="D381" i="6"/>
  <c r="C381" i="6"/>
  <c r="B381" i="6"/>
  <c r="A381" i="6"/>
  <c r="F380" i="6"/>
  <c r="E380" i="6"/>
  <c r="D380" i="6"/>
  <c r="C380" i="6"/>
  <c r="B380" i="6"/>
  <c r="A380" i="6"/>
  <c r="F379" i="6"/>
  <c r="E379" i="6"/>
  <c r="D379" i="6"/>
  <c r="C379" i="6"/>
  <c r="B379" i="6"/>
  <c r="A379" i="6"/>
  <c r="F378" i="6"/>
  <c r="E378" i="6"/>
  <c r="D378" i="6"/>
  <c r="C378" i="6"/>
  <c r="B378" i="6"/>
  <c r="A378" i="6"/>
  <c r="F377" i="6"/>
  <c r="E377" i="6"/>
  <c r="D377" i="6"/>
  <c r="C377" i="6"/>
  <c r="B377" i="6"/>
  <c r="A377" i="6"/>
  <c r="F376" i="6"/>
  <c r="E376" i="6"/>
  <c r="D376" i="6"/>
  <c r="C376" i="6"/>
  <c r="B376" i="6"/>
  <c r="A376" i="6"/>
  <c r="F375" i="6"/>
  <c r="E375" i="6"/>
  <c r="D375" i="6"/>
  <c r="C375" i="6"/>
  <c r="B375" i="6"/>
  <c r="A375" i="6"/>
  <c r="F374" i="6"/>
  <c r="E374" i="6"/>
  <c r="D374" i="6"/>
  <c r="C374" i="6"/>
  <c r="B374" i="6"/>
  <c r="A374" i="6"/>
  <c r="F373" i="6"/>
  <c r="E373" i="6"/>
  <c r="D373" i="6"/>
  <c r="C373" i="6"/>
  <c r="B373" i="6"/>
  <c r="A373" i="6"/>
  <c r="F372" i="6"/>
  <c r="E372" i="6"/>
  <c r="D372" i="6"/>
  <c r="C372" i="6"/>
  <c r="B372" i="6"/>
  <c r="A372" i="6"/>
  <c r="F371" i="6"/>
  <c r="E371" i="6"/>
  <c r="D371" i="6"/>
  <c r="C371" i="6"/>
  <c r="B371" i="6"/>
  <c r="A371" i="6"/>
  <c r="F370" i="6"/>
  <c r="E370" i="6"/>
  <c r="D370" i="6"/>
  <c r="C370" i="6"/>
  <c r="B370" i="6"/>
  <c r="A370" i="6"/>
  <c r="F369" i="6"/>
  <c r="E369" i="6"/>
  <c r="D369" i="6"/>
  <c r="C369" i="6"/>
  <c r="B369" i="6"/>
  <c r="A369" i="6"/>
  <c r="F368" i="6"/>
  <c r="E368" i="6"/>
  <c r="D368" i="6"/>
  <c r="C368" i="6"/>
  <c r="B368" i="6"/>
  <c r="A368" i="6"/>
  <c r="F367" i="6"/>
  <c r="E367" i="6"/>
  <c r="D367" i="6"/>
  <c r="C367" i="6"/>
  <c r="B367" i="6"/>
  <c r="A367" i="6"/>
  <c r="F366" i="6"/>
  <c r="E366" i="6"/>
  <c r="D366" i="6"/>
  <c r="C366" i="6"/>
  <c r="B366" i="6"/>
  <c r="A366" i="6"/>
  <c r="F365" i="6"/>
  <c r="E365" i="6"/>
  <c r="D365" i="6"/>
  <c r="C365" i="6"/>
  <c r="B365" i="6"/>
  <c r="A365" i="6"/>
  <c r="F364" i="6"/>
  <c r="E364" i="6"/>
  <c r="D364" i="6"/>
  <c r="C364" i="6"/>
  <c r="B364" i="6"/>
  <c r="A364" i="6"/>
  <c r="F363" i="6"/>
  <c r="E363" i="6"/>
  <c r="D363" i="6"/>
  <c r="C363" i="6"/>
  <c r="B363" i="6"/>
  <c r="A363" i="6"/>
  <c r="F362" i="6"/>
  <c r="E362" i="6"/>
  <c r="D362" i="6"/>
  <c r="C362" i="6"/>
  <c r="B362" i="6"/>
  <c r="A362" i="6"/>
  <c r="F361" i="6"/>
  <c r="E361" i="6"/>
  <c r="D361" i="6"/>
  <c r="C361" i="6"/>
  <c r="B361" i="6"/>
  <c r="A361" i="6"/>
  <c r="F360" i="6"/>
  <c r="E360" i="6"/>
  <c r="D360" i="6"/>
  <c r="C360" i="6"/>
  <c r="B360" i="6"/>
  <c r="A360" i="6"/>
  <c r="F359" i="6"/>
  <c r="E359" i="6"/>
  <c r="D359" i="6"/>
  <c r="C359" i="6"/>
  <c r="B359" i="6"/>
  <c r="A359" i="6"/>
  <c r="F358" i="6"/>
  <c r="E358" i="6"/>
  <c r="D358" i="6"/>
  <c r="C358" i="6"/>
  <c r="B358" i="6"/>
  <c r="A358" i="6"/>
  <c r="F357" i="6"/>
  <c r="E357" i="6"/>
  <c r="D357" i="6"/>
  <c r="C357" i="6"/>
  <c r="B357" i="6"/>
  <c r="A357" i="6"/>
  <c r="F356" i="6"/>
  <c r="E356" i="6"/>
  <c r="D356" i="6"/>
  <c r="C356" i="6"/>
  <c r="B356" i="6"/>
  <c r="A356" i="6"/>
  <c r="F355" i="6"/>
  <c r="E355" i="6"/>
  <c r="D355" i="6"/>
  <c r="C355" i="6"/>
  <c r="B355" i="6"/>
  <c r="A355" i="6"/>
  <c r="F354" i="6"/>
  <c r="E354" i="6"/>
  <c r="D354" i="6"/>
  <c r="C354" i="6"/>
  <c r="B354" i="6"/>
  <c r="A354" i="6"/>
  <c r="F353" i="6"/>
  <c r="E353" i="6"/>
  <c r="D353" i="6"/>
  <c r="C353" i="6"/>
  <c r="B353" i="6"/>
  <c r="A353" i="6"/>
  <c r="F352" i="6"/>
  <c r="E352" i="6"/>
  <c r="D352" i="6"/>
  <c r="C352" i="6"/>
  <c r="B352" i="6"/>
  <c r="A352" i="6"/>
  <c r="F351" i="6"/>
  <c r="E351" i="6"/>
  <c r="D351" i="6"/>
  <c r="C351" i="6"/>
  <c r="B351" i="6"/>
  <c r="A351" i="6"/>
  <c r="F350" i="6"/>
  <c r="E350" i="6"/>
  <c r="D350" i="6"/>
  <c r="C350" i="6"/>
  <c r="B350" i="6"/>
  <c r="A350" i="6"/>
  <c r="F349" i="6"/>
  <c r="E349" i="6"/>
  <c r="D349" i="6"/>
  <c r="C349" i="6"/>
  <c r="B349" i="6"/>
  <c r="A349" i="6"/>
  <c r="F348" i="6"/>
  <c r="E348" i="6"/>
  <c r="D348" i="6"/>
  <c r="C348" i="6"/>
  <c r="B348" i="6"/>
  <c r="A348" i="6"/>
  <c r="F347" i="6"/>
  <c r="E347" i="6"/>
  <c r="D347" i="6"/>
  <c r="C347" i="6"/>
  <c r="B347" i="6"/>
  <c r="A347" i="6"/>
  <c r="F346" i="6"/>
  <c r="E346" i="6"/>
  <c r="D346" i="6"/>
  <c r="C346" i="6"/>
  <c r="B346" i="6"/>
  <c r="A346" i="6"/>
  <c r="F345" i="6"/>
  <c r="E345" i="6"/>
  <c r="D345" i="6"/>
  <c r="C345" i="6"/>
  <c r="B345" i="6"/>
  <c r="A345" i="6"/>
  <c r="F344" i="6"/>
  <c r="E344" i="6"/>
  <c r="D344" i="6"/>
  <c r="C344" i="6"/>
  <c r="B344" i="6"/>
  <c r="A344" i="6"/>
  <c r="F343" i="6"/>
  <c r="E343" i="6"/>
  <c r="D343" i="6"/>
  <c r="C343" i="6"/>
  <c r="B343" i="6"/>
  <c r="A343" i="6"/>
  <c r="F342" i="6"/>
  <c r="E342" i="6"/>
  <c r="D342" i="6"/>
  <c r="C342" i="6"/>
  <c r="B342" i="6"/>
  <c r="A342" i="6"/>
  <c r="F341" i="6"/>
  <c r="E341" i="6"/>
  <c r="D341" i="6"/>
  <c r="C341" i="6"/>
  <c r="B341" i="6"/>
  <c r="A341" i="6"/>
  <c r="F340" i="6"/>
  <c r="E340" i="6"/>
  <c r="D340" i="6"/>
  <c r="C340" i="6"/>
  <c r="B340" i="6"/>
  <c r="A340" i="6"/>
  <c r="F339" i="6"/>
  <c r="E339" i="6"/>
  <c r="D339" i="6"/>
  <c r="C339" i="6"/>
  <c r="B339" i="6"/>
  <c r="A339" i="6"/>
  <c r="F338" i="6"/>
  <c r="E338" i="6"/>
  <c r="D338" i="6"/>
  <c r="C338" i="6"/>
  <c r="B338" i="6"/>
  <c r="A338" i="6"/>
  <c r="F337" i="6"/>
  <c r="E337" i="6"/>
  <c r="D337" i="6"/>
  <c r="C337" i="6"/>
  <c r="B337" i="6"/>
  <c r="A337" i="6"/>
  <c r="F336" i="6"/>
  <c r="E336" i="6"/>
  <c r="D336" i="6"/>
  <c r="C336" i="6"/>
  <c r="B336" i="6"/>
  <c r="A336" i="6"/>
  <c r="F335" i="6"/>
  <c r="E335" i="6"/>
  <c r="D335" i="6"/>
  <c r="C335" i="6"/>
  <c r="B335" i="6"/>
  <c r="A335" i="6"/>
  <c r="F334" i="6"/>
  <c r="E334" i="6"/>
  <c r="D334" i="6"/>
  <c r="C334" i="6"/>
  <c r="B334" i="6"/>
  <c r="A334" i="6"/>
  <c r="F333" i="6"/>
  <c r="E333" i="6"/>
  <c r="D333" i="6"/>
  <c r="C333" i="6"/>
  <c r="B333" i="6"/>
  <c r="A333" i="6"/>
  <c r="F332" i="6"/>
  <c r="E332" i="6"/>
  <c r="D332" i="6"/>
  <c r="C332" i="6"/>
  <c r="B332" i="6"/>
  <c r="A332" i="6"/>
  <c r="F331" i="6"/>
  <c r="E331" i="6"/>
  <c r="D331" i="6"/>
  <c r="C331" i="6"/>
  <c r="B331" i="6"/>
  <c r="A331" i="6"/>
  <c r="F330" i="6"/>
  <c r="E330" i="6"/>
  <c r="D330" i="6"/>
  <c r="C330" i="6"/>
  <c r="B330" i="6"/>
  <c r="A330" i="6"/>
  <c r="F329" i="6"/>
  <c r="E329" i="6"/>
  <c r="D329" i="6"/>
  <c r="C329" i="6"/>
  <c r="B329" i="6"/>
  <c r="A329" i="6"/>
  <c r="F328" i="6"/>
  <c r="E328" i="6"/>
  <c r="D328" i="6"/>
  <c r="C328" i="6"/>
  <c r="B328" i="6"/>
  <c r="A328" i="6"/>
  <c r="F327" i="6"/>
  <c r="E327" i="6"/>
  <c r="D327" i="6"/>
  <c r="C327" i="6"/>
  <c r="B327" i="6"/>
  <c r="A327" i="6"/>
  <c r="F326" i="6"/>
  <c r="E326" i="6"/>
  <c r="D326" i="6"/>
  <c r="C326" i="6"/>
  <c r="B326" i="6"/>
  <c r="A326" i="6"/>
  <c r="F325" i="6"/>
  <c r="E325" i="6"/>
  <c r="D325" i="6"/>
  <c r="C325" i="6"/>
  <c r="B325" i="6"/>
  <c r="A325" i="6"/>
  <c r="F324" i="6"/>
  <c r="E324" i="6"/>
  <c r="D324" i="6"/>
  <c r="C324" i="6"/>
  <c r="B324" i="6"/>
  <c r="A324" i="6"/>
  <c r="F323" i="6"/>
  <c r="E323" i="6"/>
  <c r="D323" i="6"/>
  <c r="C323" i="6"/>
  <c r="B323" i="6"/>
  <c r="A323" i="6"/>
  <c r="F322" i="6"/>
  <c r="E322" i="6"/>
  <c r="D322" i="6"/>
  <c r="C322" i="6"/>
  <c r="B322" i="6"/>
  <c r="A322" i="6"/>
  <c r="F321" i="6"/>
  <c r="E321" i="6"/>
  <c r="D321" i="6"/>
  <c r="C321" i="6"/>
  <c r="B321" i="6"/>
  <c r="A321" i="6"/>
  <c r="F320" i="6"/>
  <c r="E320" i="6"/>
  <c r="D320" i="6"/>
  <c r="C320" i="6"/>
  <c r="B320" i="6"/>
  <c r="A320" i="6"/>
  <c r="F319" i="6"/>
  <c r="E319" i="6"/>
  <c r="D319" i="6"/>
  <c r="C319" i="6"/>
  <c r="B319" i="6"/>
  <c r="A319" i="6"/>
  <c r="F318" i="6"/>
  <c r="E318" i="6"/>
  <c r="D318" i="6"/>
  <c r="C318" i="6"/>
  <c r="B318" i="6"/>
  <c r="A318" i="6"/>
  <c r="F317" i="6"/>
  <c r="E317" i="6"/>
  <c r="D317" i="6"/>
  <c r="C317" i="6"/>
  <c r="B317" i="6"/>
  <c r="A317" i="6"/>
  <c r="F316" i="6"/>
  <c r="E316" i="6"/>
  <c r="D316" i="6"/>
  <c r="C316" i="6"/>
  <c r="B316" i="6"/>
  <c r="A316" i="6"/>
  <c r="F315" i="6"/>
  <c r="E315" i="6"/>
  <c r="D315" i="6"/>
  <c r="C315" i="6"/>
  <c r="B315" i="6"/>
  <c r="A315" i="6"/>
  <c r="F314" i="6"/>
  <c r="E314" i="6"/>
  <c r="D314" i="6"/>
  <c r="C314" i="6"/>
  <c r="B314" i="6"/>
  <c r="A314" i="6"/>
  <c r="F313" i="6"/>
  <c r="E313" i="6"/>
  <c r="D313" i="6"/>
  <c r="C313" i="6"/>
  <c r="B313" i="6"/>
  <c r="A313" i="6"/>
  <c r="F312" i="6"/>
  <c r="E312" i="6"/>
  <c r="D312" i="6"/>
  <c r="C312" i="6"/>
  <c r="B312" i="6"/>
  <c r="A312" i="6"/>
  <c r="F311" i="6"/>
  <c r="E311" i="6"/>
  <c r="D311" i="6"/>
  <c r="C311" i="6"/>
  <c r="B311" i="6"/>
  <c r="A311" i="6"/>
  <c r="F310" i="6"/>
  <c r="E310" i="6"/>
  <c r="D310" i="6"/>
  <c r="C310" i="6"/>
  <c r="B310" i="6"/>
  <c r="A310" i="6"/>
  <c r="F309" i="6"/>
  <c r="E309" i="6"/>
  <c r="D309" i="6"/>
  <c r="C309" i="6"/>
  <c r="B309" i="6"/>
  <c r="A309" i="6"/>
  <c r="F308" i="6"/>
  <c r="E308" i="6"/>
  <c r="D308" i="6"/>
  <c r="C308" i="6"/>
  <c r="B308" i="6"/>
  <c r="A308" i="6"/>
  <c r="F307" i="6"/>
  <c r="E307" i="6"/>
  <c r="D307" i="6"/>
  <c r="C307" i="6"/>
  <c r="B307" i="6"/>
  <c r="A307" i="6"/>
  <c r="F306" i="6"/>
  <c r="E306" i="6"/>
  <c r="D306" i="6"/>
  <c r="C306" i="6"/>
  <c r="B306" i="6"/>
  <c r="A306" i="6"/>
  <c r="F305" i="6"/>
  <c r="E305" i="6"/>
  <c r="D305" i="6"/>
  <c r="C305" i="6"/>
  <c r="B305" i="6"/>
  <c r="A305" i="6"/>
  <c r="F304" i="6"/>
  <c r="E304" i="6"/>
  <c r="D304" i="6"/>
  <c r="C304" i="6"/>
  <c r="B304" i="6"/>
  <c r="A304" i="6"/>
  <c r="F303" i="6"/>
  <c r="E303" i="6"/>
  <c r="D303" i="6"/>
  <c r="C303" i="6"/>
  <c r="B303" i="6"/>
  <c r="A303" i="6"/>
  <c r="F302" i="6"/>
  <c r="E302" i="6"/>
  <c r="D302" i="6"/>
  <c r="C302" i="6"/>
  <c r="B302" i="6"/>
  <c r="A302" i="6"/>
  <c r="F301" i="6"/>
  <c r="E301" i="6"/>
  <c r="D301" i="6"/>
  <c r="C301" i="6"/>
  <c r="B301" i="6"/>
  <c r="A301" i="6"/>
  <c r="F300" i="6"/>
  <c r="E300" i="6"/>
  <c r="D300" i="6"/>
  <c r="C300" i="6"/>
  <c r="B300" i="6"/>
  <c r="A300" i="6"/>
  <c r="F299" i="6"/>
  <c r="E299" i="6"/>
  <c r="D299" i="6"/>
  <c r="C299" i="6"/>
  <c r="B299" i="6"/>
  <c r="A299" i="6"/>
  <c r="F298" i="6"/>
  <c r="E298" i="6"/>
  <c r="D298" i="6"/>
  <c r="C298" i="6"/>
  <c r="B298" i="6"/>
  <c r="A298" i="6"/>
  <c r="F297" i="6"/>
  <c r="E297" i="6"/>
  <c r="D297" i="6"/>
  <c r="C297" i="6"/>
  <c r="B297" i="6"/>
  <c r="A297" i="6"/>
  <c r="F296" i="6"/>
  <c r="E296" i="6"/>
  <c r="D296" i="6"/>
  <c r="C296" i="6"/>
  <c r="B296" i="6"/>
  <c r="A296" i="6"/>
  <c r="F295" i="6"/>
  <c r="E295" i="6"/>
  <c r="D295" i="6"/>
  <c r="C295" i="6"/>
  <c r="B295" i="6"/>
  <c r="A295" i="6"/>
  <c r="F294" i="6"/>
  <c r="E294" i="6"/>
  <c r="D294" i="6"/>
  <c r="C294" i="6"/>
  <c r="B294" i="6"/>
  <c r="A294" i="6"/>
  <c r="F293" i="6"/>
  <c r="E293" i="6"/>
  <c r="D293" i="6"/>
  <c r="C293" i="6"/>
  <c r="B293" i="6"/>
  <c r="A293" i="6"/>
  <c r="F292" i="6"/>
  <c r="E292" i="6"/>
  <c r="D292" i="6"/>
  <c r="C292" i="6"/>
  <c r="B292" i="6"/>
  <c r="A292" i="6"/>
  <c r="F291" i="6"/>
  <c r="E291" i="6"/>
  <c r="D291" i="6"/>
  <c r="C291" i="6"/>
  <c r="B291" i="6"/>
  <c r="A291" i="6"/>
  <c r="F290" i="6"/>
  <c r="E290" i="6"/>
  <c r="D290" i="6"/>
  <c r="C290" i="6"/>
  <c r="B290" i="6"/>
  <c r="A290" i="6"/>
  <c r="F289" i="6"/>
  <c r="E289" i="6"/>
  <c r="D289" i="6"/>
  <c r="C289" i="6"/>
  <c r="B289" i="6"/>
  <c r="A289" i="6"/>
  <c r="F288" i="6"/>
  <c r="E288" i="6"/>
  <c r="D288" i="6"/>
  <c r="C288" i="6"/>
  <c r="B288" i="6"/>
  <c r="A288" i="6"/>
  <c r="F287" i="6"/>
  <c r="E287" i="6"/>
  <c r="D287" i="6"/>
  <c r="C287" i="6"/>
  <c r="F286" i="6"/>
  <c r="E286" i="6"/>
  <c r="D286" i="6"/>
  <c r="C286" i="6"/>
  <c r="B286" i="6"/>
  <c r="A286" i="6"/>
  <c r="F285" i="6"/>
  <c r="E285" i="6"/>
  <c r="D285" i="6"/>
  <c r="C285" i="6"/>
  <c r="B285" i="6"/>
  <c r="A285" i="6"/>
  <c r="F284" i="6"/>
  <c r="E284" i="6"/>
  <c r="D284" i="6"/>
  <c r="C284" i="6"/>
  <c r="B284" i="6"/>
  <c r="A284" i="6"/>
  <c r="F283" i="6"/>
  <c r="E283" i="6"/>
  <c r="D283" i="6"/>
  <c r="C283" i="6"/>
  <c r="B283" i="6"/>
  <c r="A283" i="6"/>
  <c r="F282" i="6"/>
  <c r="E282" i="6"/>
  <c r="D282" i="6"/>
  <c r="C282" i="6"/>
  <c r="B282" i="6"/>
  <c r="A282" i="6"/>
  <c r="F281" i="6"/>
  <c r="E281" i="6"/>
  <c r="D281" i="6"/>
  <c r="C281" i="6"/>
  <c r="B281" i="6"/>
  <c r="A281" i="6"/>
  <c r="F280" i="6"/>
  <c r="E280" i="6"/>
  <c r="D280" i="6"/>
  <c r="C280" i="6"/>
  <c r="B280" i="6"/>
  <c r="A280" i="6"/>
  <c r="F279" i="6"/>
  <c r="E279" i="6"/>
  <c r="D279" i="6"/>
  <c r="C279" i="6"/>
  <c r="B279" i="6"/>
  <c r="A279" i="6"/>
  <c r="F278" i="6"/>
  <c r="E278" i="6"/>
  <c r="D278" i="6"/>
  <c r="C278" i="6"/>
  <c r="B278" i="6"/>
  <c r="A278" i="6"/>
  <c r="F277" i="6"/>
  <c r="E277" i="6"/>
  <c r="D277" i="6"/>
  <c r="C277" i="6"/>
  <c r="B277" i="6"/>
  <c r="A277" i="6"/>
  <c r="F276" i="6"/>
  <c r="E276" i="6"/>
  <c r="D276" i="6"/>
  <c r="C276" i="6"/>
  <c r="B276" i="6"/>
  <c r="A276" i="6"/>
  <c r="F275" i="6"/>
  <c r="E275" i="6"/>
  <c r="D275" i="6"/>
  <c r="C275" i="6"/>
  <c r="B275" i="6"/>
  <c r="A275" i="6"/>
  <c r="F274" i="6"/>
  <c r="E274" i="6"/>
  <c r="D274" i="6"/>
  <c r="C274" i="6"/>
  <c r="B274" i="6"/>
  <c r="A274" i="6"/>
  <c r="F273" i="6"/>
  <c r="E273" i="6"/>
  <c r="D273" i="6"/>
  <c r="C273" i="6"/>
  <c r="B273" i="6"/>
  <c r="A273" i="6"/>
  <c r="F272" i="6"/>
  <c r="E272" i="6"/>
  <c r="D272" i="6"/>
  <c r="C272" i="6"/>
  <c r="B272" i="6"/>
  <c r="A272" i="6"/>
  <c r="F271" i="6"/>
  <c r="E271" i="6"/>
  <c r="D271" i="6"/>
  <c r="C271" i="6"/>
  <c r="B271" i="6"/>
  <c r="A271" i="6"/>
  <c r="F270" i="6"/>
  <c r="E270" i="6"/>
  <c r="D270" i="6"/>
  <c r="C270" i="6"/>
  <c r="B270" i="6"/>
  <c r="A270" i="6"/>
  <c r="F269" i="6"/>
  <c r="E269" i="6"/>
  <c r="D269" i="6"/>
  <c r="C269" i="6"/>
  <c r="B269" i="6"/>
  <c r="A269" i="6"/>
  <c r="F268" i="6"/>
  <c r="E268" i="6"/>
  <c r="D268" i="6"/>
  <c r="C268" i="6"/>
  <c r="B268" i="6"/>
  <c r="A268" i="6"/>
  <c r="F267" i="6"/>
  <c r="E267" i="6"/>
  <c r="D267" i="6"/>
  <c r="C267" i="6"/>
  <c r="B267" i="6"/>
  <c r="A267" i="6"/>
  <c r="F266" i="6"/>
  <c r="E266" i="6"/>
  <c r="D266" i="6"/>
  <c r="C266" i="6"/>
  <c r="B266" i="6"/>
  <c r="A266" i="6"/>
  <c r="F265" i="6"/>
  <c r="E265" i="6"/>
  <c r="D265" i="6"/>
  <c r="C265" i="6"/>
  <c r="B265" i="6"/>
  <c r="A265" i="6"/>
  <c r="F264" i="6"/>
  <c r="E264" i="6"/>
  <c r="D264" i="6"/>
  <c r="C264" i="6"/>
  <c r="B264" i="6"/>
  <c r="A264" i="6"/>
  <c r="F263" i="6"/>
  <c r="E263" i="6"/>
  <c r="D263" i="6"/>
  <c r="C263" i="6"/>
  <c r="B263" i="6"/>
  <c r="A263" i="6"/>
  <c r="F262" i="6"/>
  <c r="E262" i="6"/>
  <c r="D262" i="6"/>
  <c r="C262" i="6"/>
  <c r="B262" i="6"/>
  <c r="A262" i="6"/>
  <c r="F261" i="6"/>
  <c r="E261" i="6"/>
  <c r="D261" i="6"/>
  <c r="C261" i="6"/>
  <c r="B261" i="6"/>
  <c r="A261" i="6"/>
  <c r="F260" i="6"/>
  <c r="E260" i="6"/>
  <c r="D260" i="6"/>
  <c r="C260" i="6"/>
  <c r="B260" i="6"/>
  <c r="A260" i="6"/>
  <c r="F259" i="6"/>
  <c r="E259" i="6"/>
  <c r="D259" i="6"/>
  <c r="C259" i="6"/>
  <c r="B259" i="6"/>
  <c r="A259" i="6"/>
  <c r="F258" i="6"/>
  <c r="E258" i="6"/>
  <c r="D258" i="6"/>
  <c r="C258" i="6"/>
  <c r="B258" i="6"/>
  <c r="A258" i="6"/>
  <c r="F257" i="6"/>
  <c r="E257" i="6"/>
  <c r="D257" i="6"/>
  <c r="C257" i="6"/>
  <c r="B257" i="6"/>
  <c r="A257" i="6"/>
  <c r="F256" i="6"/>
  <c r="E256" i="6"/>
  <c r="D256" i="6"/>
  <c r="C256" i="6"/>
  <c r="B256" i="6"/>
  <c r="A256" i="6"/>
  <c r="F255" i="6"/>
  <c r="E255" i="6"/>
  <c r="D255" i="6"/>
  <c r="C255" i="6"/>
  <c r="B255" i="6"/>
  <c r="A255" i="6"/>
  <c r="F254" i="6"/>
  <c r="E254" i="6"/>
  <c r="D254" i="6"/>
  <c r="C254" i="6"/>
  <c r="B254" i="6"/>
  <c r="A254" i="6"/>
  <c r="F253" i="6"/>
  <c r="E253" i="6"/>
  <c r="D253" i="6"/>
  <c r="C253" i="6"/>
  <c r="B253" i="6"/>
  <c r="A253" i="6"/>
  <c r="F252" i="6"/>
  <c r="E252" i="6"/>
  <c r="D252" i="6"/>
  <c r="C252" i="6"/>
  <c r="B252" i="6"/>
  <c r="A252" i="6"/>
  <c r="F251" i="6"/>
  <c r="E251" i="6"/>
  <c r="D251" i="6"/>
  <c r="C251" i="6"/>
  <c r="B251" i="6"/>
  <c r="A251" i="6"/>
  <c r="F250" i="6"/>
  <c r="E250" i="6"/>
  <c r="D250" i="6"/>
  <c r="C250" i="6"/>
  <c r="B250" i="6"/>
  <c r="A250" i="6"/>
  <c r="F249" i="6"/>
  <c r="E249" i="6"/>
  <c r="D249" i="6"/>
  <c r="C249" i="6"/>
  <c r="B249" i="6"/>
  <c r="A249" i="6"/>
  <c r="F248" i="6"/>
  <c r="E248" i="6"/>
  <c r="D248" i="6"/>
  <c r="C248" i="6"/>
  <c r="B248" i="6"/>
  <c r="A248" i="6"/>
  <c r="F247" i="6"/>
  <c r="E247" i="6"/>
  <c r="D247" i="6"/>
  <c r="C247" i="6"/>
  <c r="B247" i="6"/>
  <c r="A247" i="6"/>
  <c r="F246" i="6"/>
  <c r="E246" i="6"/>
  <c r="D246" i="6"/>
  <c r="C246" i="6"/>
  <c r="B246" i="6"/>
  <c r="A246" i="6"/>
  <c r="F245" i="6"/>
  <c r="E245" i="6"/>
  <c r="D245" i="6"/>
  <c r="C245" i="6"/>
  <c r="B245" i="6"/>
  <c r="A245" i="6"/>
  <c r="F244" i="6"/>
  <c r="E244" i="6"/>
  <c r="D244" i="6"/>
  <c r="C244" i="6"/>
  <c r="B244" i="6"/>
  <c r="A244" i="6"/>
  <c r="F243" i="6"/>
  <c r="E243" i="6"/>
  <c r="D243" i="6"/>
  <c r="C243" i="6"/>
  <c r="B243" i="6"/>
  <c r="A243" i="6"/>
  <c r="F242" i="6"/>
  <c r="E242" i="6"/>
  <c r="D242" i="6"/>
  <c r="C242" i="6"/>
  <c r="B242" i="6"/>
  <c r="A242" i="6"/>
  <c r="F241" i="6"/>
  <c r="E241" i="6"/>
  <c r="D241" i="6"/>
  <c r="C241" i="6"/>
  <c r="B241" i="6"/>
  <c r="A241" i="6"/>
  <c r="F240" i="6"/>
  <c r="E240" i="6"/>
  <c r="D240" i="6"/>
  <c r="C240" i="6"/>
  <c r="B240" i="6"/>
  <c r="A240" i="6"/>
  <c r="F239" i="6"/>
  <c r="E239" i="6"/>
  <c r="D239" i="6"/>
  <c r="C239" i="6"/>
  <c r="B239" i="6"/>
  <c r="A239" i="6"/>
  <c r="F238" i="6"/>
  <c r="E238" i="6"/>
  <c r="D238" i="6"/>
  <c r="C238" i="6"/>
  <c r="B238" i="6"/>
  <c r="A238" i="6"/>
  <c r="F237" i="6"/>
  <c r="E237" i="6"/>
  <c r="D237" i="6"/>
  <c r="C237" i="6"/>
  <c r="B237" i="6"/>
  <c r="A237" i="6"/>
  <c r="F236" i="6"/>
  <c r="E236" i="6"/>
  <c r="D236" i="6"/>
  <c r="C236" i="6"/>
  <c r="B236" i="6"/>
  <c r="A236" i="6"/>
  <c r="F235" i="6"/>
  <c r="E235" i="6"/>
  <c r="D235" i="6"/>
  <c r="C235" i="6"/>
  <c r="B235" i="6"/>
  <c r="A235" i="6"/>
  <c r="F234" i="6"/>
  <c r="E234" i="6"/>
  <c r="D234" i="6"/>
  <c r="C234" i="6"/>
  <c r="B234" i="6"/>
  <c r="A234" i="6"/>
  <c r="F233" i="6"/>
  <c r="E233" i="6"/>
  <c r="D233" i="6"/>
  <c r="C233" i="6"/>
  <c r="B233" i="6"/>
  <c r="A233" i="6"/>
  <c r="F232" i="6"/>
  <c r="E232" i="6"/>
  <c r="D232" i="6"/>
  <c r="C232" i="6"/>
  <c r="B232" i="6"/>
  <c r="A232" i="6"/>
  <c r="F231" i="6"/>
  <c r="E231" i="6"/>
  <c r="D231" i="6"/>
  <c r="C231" i="6"/>
  <c r="B231" i="6"/>
  <c r="A231" i="6"/>
  <c r="F230" i="6"/>
  <c r="E230" i="6"/>
  <c r="D230" i="6"/>
  <c r="C230" i="6"/>
  <c r="B230" i="6"/>
  <c r="A230" i="6"/>
  <c r="F229" i="6"/>
  <c r="E229" i="6"/>
  <c r="D229" i="6"/>
  <c r="C229" i="6"/>
  <c r="B229" i="6"/>
  <c r="A229" i="6"/>
  <c r="F228" i="6"/>
  <c r="E228" i="6"/>
  <c r="D228" i="6"/>
  <c r="C228" i="6"/>
  <c r="B228" i="6"/>
  <c r="A228" i="6"/>
  <c r="F227" i="6"/>
  <c r="E227" i="6"/>
  <c r="D227" i="6"/>
  <c r="C227" i="6"/>
  <c r="B227" i="6"/>
  <c r="A227" i="6"/>
  <c r="F226" i="6"/>
  <c r="E226" i="6"/>
  <c r="D226" i="6"/>
  <c r="C226" i="6"/>
  <c r="B226" i="6"/>
  <c r="A226" i="6"/>
  <c r="F225" i="6"/>
  <c r="E225" i="6"/>
  <c r="D225" i="6"/>
  <c r="C225" i="6"/>
  <c r="B225" i="6"/>
  <c r="A225" i="6"/>
  <c r="F224" i="6"/>
  <c r="E224" i="6"/>
  <c r="D224" i="6"/>
  <c r="C224" i="6"/>
  <c r="B224" i="6"/>
  <c r="A224" i="6"/>
  <c r="F223" i="6"/>
  <c r="E223" i="6"/>
  <c r="D223" i="6"/>
  <c r="C223" i="6"/>
  <c r="B223" i="6"/>
  <c r="A223" i="6"/>
  <c r="F222" i="6"/>
  <c r="E222" i="6"/>
  <c r="D222" i="6"/>
  <c r="C222" i="6"/>
  <c r="B222" i="6"/>
  <c r="A222" i="6"/>
  <c r="F221" i="6"/>
  <c r="E221" i="6"/>
  <c r="D221" i="6"/>
  <c r="C221" i="6"/>
  <c r="B221" i="6"/>
  <c r="A221" i="6"/>
  <c r="F220" i="6"/>
  <c r="E220" i="6"/>
  <c r="D220" i="6"/>
  <c r="C220" i="6"/>
  <c r="B220" i="6"/>
  <c r="A220" i="6"/>
  <c r="F219" i="6"/>
  <c r="E219" i="6"/>
  <c r="D219" i="6"/>
  <c r="C219" i="6"/>
  <c r="B219" i="6"/>
  <c r="A219" i="6"/>
  <c r="F218" i="6"/>
  <c r="E218" i="6"/>
  <c r="D218" i="6"/>
  <c r="C218" i="6"/>
  <c r="B218" i="6"/>
  <c r="A218" i="6"/>
  <c r="F217" i="6"/>
  <c r="E217" i="6"/>
  <c r="D217" i="6"/>
  <c r="C217" i="6"/>
  <c r="B217" i="6"/>
  <c r="A217" i="6"/>
  <c r="F216" i="6"/>
  <c r="E216" i="6"/>
  <c r="D216" i="6"/>
  <c r="C216" i="6"/>
  <c r="B216" i="6"/>
  <c r="A216" i="6"/>
  <c r="F215" i="6"/>
  <c r="E215" i="6"/>
  <c r="D215" i="6"/>
  <c r="C215" i="6"/>
  <c r="B215" i="6"/>
  <c r="A215" i="6"/>
  <c r="F214" i="6"/>
  <c r="E214" i="6"/>
  <c r="D214" i="6"/>
  <c r="C214" i="6"/>
  <c r="B214" i="6"/>
  <c r="A214" i="6"/>
  <c r="F213" i="6"/>
  <c r="E213" i="6"/>
  <c r="D213" i="6"/>
  <c r="C213" i="6"/>
  <c r="B213" i="6"/>
  <c r="A213" i="6"/>
  <c r="F212" i="6"/>
  <c r="E212" i="6"/>
  <c r="D212" i="6"/>
  <c r="C212" i="6"/>
  <c r="B212" i="6"/>
  <c r="A212" i="6"/>
  <c r="F211" i="6"/>
  <c r="E211" i="6"/>
  <c r="D211" i="6"/>
  <c r="C211" i="6"/>
  <c r="B211" i="6"/>
  <c r="A211" i="6"/>
  <c r="F210" i="6"/>
  <c r="E210" i="6"/>
  <c r="D210" i="6"/>
  <c r="C210" i="6"/>
  <c r="B210" i="6"/>
  <c r="A210" i="6"/>
  <c r="F209" i="6"/>
  <c r="E209" i="6"/>
  <c r="D209" i="6"/>
  <c r="C209" i="6"/>
  <c r="B209" i="6"/>
  <c r="A209" i="6"/>
  <c r="F208" i="6"/>
  <c r="E208" i="6"/>
  <c r="D208" i="6"/>
  <c r="C208" i="6"/>
  <c r="B208" i="6"/>
  <c r="A208" i="6"/>
  <c r="F207" i="6"/>
  <c r="E207" i="6"/>
  <c r="D207" i="6"/>
  <c r="C207" i="6"/>
  <c r="B207" i="6"/>
  <c r="A207" i="6"/>
  <c r="F206" i="6"/>
  <c r="E206" i="6"/>
  <c r="D206" i="6"/>
  <c r="C206" i="6"/>
  <c r="B206" i="6"/>
  <c r="A206" i="6"/>
  <c r="F205" i="6"/>
  <c r="E205" i="6"/>
  <c r="D205" i="6"/>
  <c r="C205" i="6"/>
  <c r="B205" i="6"/>
  <c r="A205" i="6"/>
  <c r="F204" i="6"/>
  <c r="E204" i="6"/>
  <c r="D204" i="6"/>
  <c r="C204" i="6"/>
  <c r="B204" i="6"/>
  <c r="A204" i="6"/>
  <c r="F203" i="6"/>
  <c r="E203" i="6"/>
  <c r="D203" i="6"/>
  <c r="C203" i="6"/>
  <c r="B203" i="6"/>
  <c r="A203" i="6"/>
  <c r="F202" i="6"/>
  <c r="E202" i="6"/>
  <c r="D202" i="6"/>
  <c r="C202" i="6"/>
  <c r="B202" i="6"/>
  <c r="A202" i="6"/>
  <c r="F201" i="6"/>
  <c r="E201" i="6"/>
  <c r="D201" i="6"/>
  <c r="C201" i="6"/>
  <c r="B201" i="6"/>
  <c r="A201" i="6"/>
  <c r="F200" i="6"/>
  <c r="E200" i="6"/>
  <c r="D200" i="6"/>
  <c r="C200" i="6"/>
  <c r="B200" i="6"/>
  <c r="A200" i="6"/>
  <c r="F199" i="6"/>
  <c r="E199" i="6"/>
  <c r="D199" i="6"/>
  <c r="C199" i="6"/>
  <c r="B199" i="6"/>
  <c r="A199" i="6"/>
  <c r="F198" i="6"/>
  <c r="E198" i="6"/>
  <c r="D198" i="6"/>
  <c r="C198" i="6"/>
  <c r="B198" i="6"/>
  <c r="A198" i="6"/>
  <c r="F197" i="6"/>
  <c r="E197" i="6"/>
  <c r="D197" i="6"/>
  <c r="C197" i="6"/>
  <c r="B197" i="6"/>
  <c r="A197" i="6"/>
  <c r="F196" i="6"/>
  <c r="E196" i="6"/>
  <c r="D196" i="6"/>
  <c r="C196" i="6"/>
  <c r="B196" i="6"/>
  <c r="A196" i="6"/>
  <c r="F195" i="6"/>
  <c r="E195" i="6"/>
  <c r="D195" i="6"/>
  <c r="C195" i="6"/>
  <c r="B195" i="6"/>
  <c r="A195" i="6"/>
  <c r="F194" i="6"/>
  <c r="E194" i="6"/>
  <c r="D194" i="6"/>
  <c r="C194" i="6"/>
  <c r="B194" i="6"/>
  <c r="A194" i="6"/>
  <c r="F193" i="6"/>
  <c r="E193" i="6"/>
  <c r="D193" i="6"/>
  <c r="C193" i="6"/>
  <c r="B193" i="6"/>
  <c r="A193" i="6"/>
  <c r="F192" i="6"/>
  <c r="E192" i="6"/>
  <c r="D192" i="6"/>
  <c r="C192" i="6"/>
  <c r="B192" i="6"/>
  <c r="A192" i="6"/>
  <c r="F191" i="6"/>
  <c r="E191" i="6"/>
  <c r="D191" i="6"/>
  <c r="C191" i="6"/>
  <c r="B191" i="6"/>
  <c r="A191" i="6"/>
  <c r="F190" i="6"/>
  <c r="E190" i="6"/>
  <c r="D190" i="6"/>
  <c r="C190" i="6"/>
  <c r="B190" i="6"/>
  <c r="A190" i="6"/>
  <c r="F189" i="6"/>
  <c r="E189" i="6"/>
  <c r="D189" i="6"/>
  <c r="C189" i="6"/>
  <c r="B189" i="6"/>
  <c r="A189" i="6"/>
  <c r="F188" i="6"/>
  <c r="E188" i="6"/>
  <c r="D188" i="6"/>
  <c r="C188" i="6"/>
  <c r="B188" i="6"/>
  <c r="A188" i="6"/>
  <c r="F187" i="6"/>
  <c r="E187" i="6"/>
  <c r="D187" i="6"/>
  <c r="C187" i="6"/>
  <c r="B187" i="6"/>
  <c r="A187" i="6"/>
  <c r="F186" i="6"/>
  <c r="E186" i="6"/>
  <c r="D186" i="6"/>
  <c r="C186" i="6"/>
  <c r="B186" i="6"/>
  <c r="A186" i="6"/>
  <c r="F185" i="6"/>
  <c r="E185" i="6"/>
  <c r="D185" i="6"/>
  <c r="C185" i="6"/>
  <c r="B185" i="6"/>
  <c r="A185" i="6"/>
  <c r="F184" i="6"/>
  <c r="E184" i="6"/>
  <c r="D184" i="6"/>
  <c r="C184" i="6"/>
  <c r="B184" i="6"/>
  <c r="A184" i="6"/>
  <c r="F183" i="6"/>
  <c r="E183" i="6"/>
  <c r="D183" i="6"/>
  <c r="C183" i="6"/>
  <c r="B183" i="6"/>
  <c r="A183" i="6"/>
  <c r="F182" i="6"/>
  <c r="E182" i="6"/>
  <c r="D182" i="6"/>
  <c r="C182" i="6"/>
  <c r="B182" i="6"/>
  <c r="A182" i="6"/>
  <c r="F181" i="6"/>
  <c r="E181" i="6"/>
  <c r="D181" i="6"/>
  <c r="C181" i="6"/>
  <c r="B181" i="6"/>
  <c r="A181" i="6"/>
  <c r="F180" i="6"/>
  <c r="E180" i="6"/>
  <c r="D180" i="6"/>
  <c r="C180" i="6"/>
  <c r="B180" i="6"/>
  <c r="A180" i="6"/>
  <c r="F179" i="6"/>
  <c r="E179" i="6"/>
  <c r="D179" i="6"/>
  <c r="C179" i="6"/>
  <c r="B179" i="6"/>
  <c r="A179" i="6"/>
  <c r="F178" i="6"/>
  <c r="E178" i="6"/>
  <c r="D178" i="6"/>
  <c r="C178" i="6"/>
  <c r="B178" i="6"/>
  <c r="A178" i="6"/>
  <c r="F177" i="6"/>
  <c r="E177" i="6"/>
  <c r="D177" i="6"/>
  <c r="C177" i="6"/>
  <c r="B177" i="6"/>
  <c r="A177" i="6"/>
  <c r="F176" i="6"/>
  <c r="E176" i="6"/>
  <c r="D176" i="6"/>
  <c r="C176" i="6"/>
  <c r="B176" i="6"/>
  <c r="A176" i="6"/>
  <c r="F175" i="6"/>
  <c r="E175" i="6"/>
  <c r="D175" i="6"/>
  <c r="C175" i="6"/>
  <c r="B175" i="6"/>
  <c r="A175" i="6"/>
  <c r="F174" i="6"/>
  <c r="E174" i="6"/>
  <c r="D174" i="6"/>
  <c r="C174" i="6"/>
  <c r="B174" i="6"/>
  <c r="A174" i="6"/>
  <c r="F173" i="6"/>
  <c r="E173" i="6"/>
  <c r="D173" i="6"/>
  <c r="C173" i="6"/>
  <c r="B173" i="6"/>
  <c r="A173" i="6"/>
  <c r="F172" i="6"/>
  <c r="E172" i="6"/>
  <c r="D172" i="6"/>
  <c r="C172" i="6"/>
  <c r="B172" i="6"/>
  <c r="A172" i="6"/>
  <c r="F171" i="6"/>
  <c r="E171" i="6"/>
  <c r="D171" i="6"/>
  <c r="C171" i="6"/>
  <c r="B171" i="6"/>
  <c r="A171" i="6"/>
  <c r="F170" i="6"/>
  <c r="E170" i="6"/>
  <c r="D170" i="6"/>
  <c r="C170" i="6"/>
  <c r="B170" i="6"/>
  <c r="A170" i="6"/>
  <c r="F169" i="6"/>
  <c r="E169" i="6"/>
  <c r="D169" i="6"/>
  <c r="C169" i="6"/>
  <c r="B169" i="6"/>
  <c r="A169" i="6"/>
  <c r="F168" i="6"/>
  <c r="E168" i="6"/>
  <c r="D168" i="6"/>
  <c r="C168" i="6"/>
  <c r="B168" i="6"/>
  <c r="A168" i="6"/>
  <c r="F167" i="6"/>
  <c r="E167" i="6"/>
  <c r="D167" i="6"/>
  <c r="C167" i="6"/>
  <c r="B167" i="6"/>
  <c r="A167" i="6"/>
  <c r="F166" i="6"/>
  <c r="E166" i="6"/>
  <c r="D166" i="6"/>
  <c r="C166" i="6"/>
  <c r="B166" i="6"/>
  <c r="A166" i="6"/>
  <c r="F165" i="6"/>
  <c r="E165" i="6"/>
  <c r="D165" i="6"/>
  <c r="C165" i="6"/>
  <c r="B165" i="6"/>
  <c r="A165" i="6"/>
  <c r="F164" i="6"/>
  <c r="E164" i="6"/>
  <c r="D164" i="6"/>
  <c r="C164" i="6"/>
  <c r="B164" i="6"/>
  <c r="A164" i="6"/>
  <c r="F163" i="6"/>
  <c r="E163" i="6"/>
  <c r="D163" i="6"/>
  <c r="C163" i="6"/>
  <c r="B163" i="6"/>
  <c r="A163" i="6"/>
  <c r="F162" i="6"/>
  <c r="E162" i="6"/>
  <c r="D162" i="6"/>
  <c r="C162" i="6"/>
  <c r="B162" i="6"/>
  <c r="A162" i="6"/>
  <c r="F161" i="6"/>
  <c r="E161" i="6"/>
  <c r="D161" i="6"/>
  <c r="C161" i="6"/>
  <c r="B161" i="6"/>
  <c r="A161" i="6"/>
  <c r="F160" i="6"/>
  <c r="E160" i="6"/>
  <c r="D160" i="6"/>
  <c r="C160" i="6"/>
  <c r="B160" i="6"/>
  <c r="A160" i="6"/>
  <c r="F159" i="6"/>
  <c r="E159" i="6"/>
  <c r="D159" i="6"/>
  <c r="C159" i="6"/>
  <c r="B159" i="6"/>
  <c r="A159" i="6"/>
  <c r="F158" i="6"/>
  <c r="E158" i="6"/>
  <c r="D158" i="6"/>
  <c r="C158" i="6"/>
  <c r="B158" i="6"/>
  <c r="A158" i="6"/>
  <c r="F157" i="6"/>
  <c r="E157" i="6"/>
  <c r="D157" i="6"/>
  <c r="C157" i="6"/>
  <c r="B157" i="6"/>
  <c r="A157" i="6"/>
  <c r="F156" i="6"/>
  <c r="E156" i="6"/>
  <c r="D156" i="6"/>
  <c r="C156" i="6"/>
  <c r="B156" i="6"/>
  <c r="A156" i="6"/>
  <c r="F155" i="6"/>
  <c r="E155" i="6"/>
  <c r="D155" i="6"/>
  <c r="C155" i="6"/>
  <c r="B155" i="6"/>
  <c r="A155" i="6"/>
  <c r="F154" i="6"/>
  <c r="E154" i="6"/>
  <c r="D154" i="6"/>
  <c r="C154" i="6"/>
  <c r="B154" i="6"/>
  <c r="A154" i="6"/>
  <c r="F153" i="6"/>
  <c r="E153" i="6"/>
  <c r="D153" i="6"/>
  <c r="C153" i="6"/>
  <c r="B153" i="6"/>
  <c r="A153" i="6"/>
  <c r="F152" i="6"/>
  <c r="E152" i="6"/>
  <c r="D152" i="6"/>
  <c r="C152" i="6"/>
  <c r="B152" i="6"/>
  <c r="A152" i="6"/>
  <c r="F151" i="6"/>
  <c r="E151" i="6"/>
  <c r="D151" i="6"/>
  <c r="C151" i="6"/>
  <c r="B151" i="6"/>
  <c r="A151" i="6"/>
  <c r="F150" i="6"/>
  <c r="E150" i="6"/>
  <c r="D150" i="6"/>
  <c r="C150" i="6"/>
  <c r="B150" i="6"/>
  <c r="A150" i="6"/>
  <c r="F149" i="6"/>
  <c r="E149" i="6"/>
  <c r="D149" i="6"/>
  <c r="C149" i="6"/>
  <c r="B149" i="6"/>
  <c r="A149" i="6"/>
  <c r="F148" i="6"/>
  <c r="E148" i="6"/>
  <c r="D148" i="6"/>
  <c r="C148" i="6"/>
  <c r="B148" i="6"/>
  <c r="A148" i="6"/>
  <c r="F147" i="6"/>
  <c r="E147" i="6"/>
  <c r="D147" i="6"/>
  <c r="C147" i="6"/>
  <c r="B147" i="6"/>
  <c r="A147" i="6"/>
  <c r="F146" i="6"/>
  <c r="E146" i="6"/>
  <c r="D146" i="6"/>
  <c r="C146" i="6"/>
  <c r="B146" i="6"/>
  <c r="A146" i="6"/>
  <c r="F145" i="6"/>
  <c r="E145" i="6"/>
  <c r="D145" i="6"/>
  <c r="C145" i="6"/>
  <c r="B145" i="6"/>
  <c r="A145" i="6"/>
  <c r="F144" i="6"/>
  <c r="E144" i="6"/>
  <c r="D144" i="6"/>
  <c r="C144" i="6"/>
  <c r="B144" i="6"/>
  <c r="A144" i="6"/>
  <c r="F143" i="6"/>
  <c r="E143" i="6"/>
  <c r="D143" i="6"/>
  <c r="C143" i="6"/>
  <c r="B143" i="6"/>
  <c r="A143" i="6"/>
  <c r="F142" i="6"/>
  <c r="E142" i="6"/>
  <c r="D142" i="6"/>
  <c r="C142" i="6"/>
  <c r="B142" i="6"/>
  <c r="A142" i="6"/>
  <c r="F141" i="6"/>
  <c r="E141" i="6"/>
  <c r="D141" i="6"/>
  <c r="C141" i="6"/>
  <c r="B141" i="6"/>
  <c r="A141" i="6"/>
  <c r="F140" i="6"/>
  <c r="E140" i="6"/>
  <c r="D140" i="6"/>
  <c r="C140" i="6"/>
  <c r="B140" i="6"/>
  <c r="A140" i="6"/>
  <c r="F139" i="6"/>
  <c r="E139" i="6"/>
  <c r="D139" i="6"/>
  <c r="C139" i="6"/>
  <c r="B139" i="6"/>
  <c r="A139" i="6"/>
  <c r="F138" i="6"/>
  <c r="E138" i="6"/>
  <c r="D138" i="6"/>
  <c r="C138" i="6"/>
  <c r="B138" i="6"/>
  <c r="A138" i="6"/>
  <c r="F137" i="6"/>
  <c r="E137" i="6"/>
  <c r="D137" i="6"/>
  <c r="C137" i="6"/>
  <c r="B137" i="6"/>
  <c r="A137" i="6"/>
  <c r="F136" i="6"/>
  <c r="E136" i="6"/>
  <c r="D136" i="6"/>
  <c r="C136" i="6"/>
  <c r="B136" i="6"/>
  <c r="A136" i="6"/>
  <c r="F135" i="6"/>
  <c r="E135" i="6"/>
  <c r="D135" i="6"/>
  <c r="C135" i="6"/>
  <c r="B135" i="6"/>
  <c r="A135" i="6"/>
  <c r="F134" i="6"/>
  <c r="E134" i="6"/>
  <c r="D134" i="6"/>
  <c r="C134" i="6"/>
  <c r="B134" i="6"/>
  <c r="A134" i="6"/>
  <c r="F133" i="6"/>
  <c r="E133" i="6"/>
  <c r="D133" i="6"/>
  <c r="C133" i="6"/>
  <c r="B133" i="6"/>
  <c r="A133" i="6"/>
  <c r="F132" i="6"/>
  <c r="E132" i="6"/>
  <c r="D132" i="6"/>
  <c r="C132" i="6"/>
  <c r="B132" i="6"/>
  <c r="A132" i="6"/>
  <c r="F131" i="6"/>
  <c r="E131" i="6"/>
  <c r="D131" i="6"/>
  <c r="C131" i="6"/>
  <c r="B131" i="6"/>
  <c r="A131" i="6"/>
  <c r="F130" i="6"/>
  <c r="E130" i="6"/>
  <c r="D130" i="6"/>
  <c r="C130" i="6"/>
  <c r="B130" i="6"/>
  <c r="A130" i="6"/>
  <c r="F129" i="6"/>
  <c r="E129" i="6"/>
  <c r="D129" i="6"/>
  <c r="C129" i="6"/>
  <c r="B129" i="6"/>
  <c r="A129" i="6"/>
  <c r="F128" i="6"/>
  <c r="E128" i="6"/>
  <c r="D128" i="6"/>
  <c r="C128" i="6"/>
  <c r="B128" i="6"/>
  <c r="A128" i="6"/>
  <c r="F127" i="6"/>
  <c r="E127" i="6"/>
  <c r="D127" i="6"/>
  <c r="C127" i="6"/>
  <c r="B127" i="6"/>
  <c r="A127" i="6"/>
  <c r="F126" i="6"/>
  <c r="E126" i="6"/>
  <c r="D126" i="6"/>
  <c r="C126" i="6"/>
  <c r="B126" i="6"/>
  <c r="A126" i="6"/>
  <c r="F125" i="6"/>
  <c r="E125" i="6"/>
  <c r="D125" i="6"/>
  <c r="C125" i="6"/>
  <c r="B125" i="6"/>
  <c r="A125" i="6"/>
  <c r="F124" i="6"/>
  <c r="E124" i="6"/>
  <c r="D124" i="6"/>
  <c r="C124" i="6"/>
  <c r="B124" i="6"/>
  <c r="A124" i="6"/>
  <c r="F123" i="6"/>
  <c r="E123" i="6"/>
  <c r="D123" i="6"/>
  <c r="C123" i="6"/>
  <c r="B123" i="6"/>
  <c r="A123" i="6"/>
  <c r="F122" i="6"/>
  <c r="E122" i="6"/>
  <c r="D122" i="6"/>
  <c r="C122" i="6"/>
  <c r="B122" i="6"/>
  <c r="A122" i="6"/>
  <c r="F121" i="6"/>
  <c r="E121" i="6"/>
  <c r="D121" i="6"/>
  <c r="C121" i="6"/>
  <c r="B121" i="6"/>
  <c r="A121" i="6"/>
  <c r="F120" i="6"/>
  <c r="E120" i="6"/>
  <c r="D120" i="6"/>
  <c r="C120" i="6"/>
  <c r="B120" i="6"/>
  <c r="A120" i="6"/>
  <c r="F119" i="6"/>
  <c r="E119" i="6"/>
  <c r="D119" i="6"/>
  <c r="C119" i="6"/>
  <c r="B119" i="6"/>
  <c r="A119" i="6"/>
  <c r="F118" i="6"/>
  <c r="E118" i="6"/>
  <c r="D118" i="6"/>
  <c r="C118" i="6"/>
  <c r="B118" i="6"/>
  <c r="A118" i="6"/>
  <c r="F117" i="6"/>
  <c r="E117" i="6"/>
  <c r="D117" i="6"/>
  <c r="C117" i="6"/>
  <c r="B117" i="6"/>
  <c r="A117" i="6"/>
  <c r="F116" i="6"/>
  <c r="E116" i="6"/>
  <c r="D116" i="6"/>
  <c r="C116" i="6"/>
  <c r="B116" i="6"/>
  <c r="A116" i="6"/>
  <c r="F115" i="6"/>
  <c r="E115" i="6"/>
  <c r="D115" i="6"/>
  <c r="C115" i="6"/>
  <c r="B115" i="6"/>
  <c r="A115" i="6"/>
  <c r="F114" i="6"/>
  <c r="E114" i="6"/>
  <c r="D114" i="6"/>
  <c r="C114" i="6"/>
  <c r="B114" i="6"/>
  <c r="A114" i="6"/>
  <c r="F113" i="6"/>
  <c r="E113" i="6"/>
  <c r="D113" i="6"/>
  <c r="C113" i="6"/>
  <c r="B113" i="6"/>
  <c r="A113" i="6"/>
  <c r="F112" i="6"/>
  <c r="E112" i="6"/>
  <c r="D112" i="6"/>
  <c r="C112" i="6"/>
  <c r="B112" i="6"/>
  <c r="A112" i="6"/>
  <c r="F111" i="6"/>
  <c r="E111" i="6"/>
  <c r="D111" i="6"/>
  <c r="C111" i="6"/>
  <c r="B111" i="6"/>
  <c r="A111" i="6"/>
  <c r="F110" i="6"/>
  <c r="E110" i="6"/>
  <c r="D110" i="6"/>
  <c r="C110" i="6"/>
  <c r="B110" i="6"/>
  <c r="A110" i="6"/>
  <c r="F109" i="6"/>
  <c r="E109" i="6"/>
  <c r="D109" i="6"/>
  <c r="C109" i="6"/>
  <c r="B109" i="6"/>
  <c r="A109" i="6"/>
  <c r="F108" i="6"/>
  <c r="E108" i="6"/>
  <c r="D108" i="6"/>
  <c r="C108" i="6"/>
  <c r="B108" i="6"/>
  <c r="A108" i="6"/>
  <c r="F107" i="6"/>
  <c r="E107" i="6"/>
  <c r="D107" i="6"/>
  <c r="C107" i="6"/>
  <c r="B107" i="6"/>
  <c r="A107" i="6"/>
  <c r="F106" i="6"/>
  <c r="E106" i="6"/>
  <c r="D106" i="6"/>
  <c r="C106" i="6"/>
  <c r="B106" i="6"/>
  <c r="A106" i="6"/>
  <c r="F105" i="6"/>
  <c r="E105" i="6"/>
  <c r="D105" i="6"/>
  <c r="C105" i="6"/>
  <c r="B105" i="6"/>
  <c r="A105" i="6"/>
  <c r="F104" i="6"/>
  <c r="E104" i="6"/>
  <c r="D104" i="6"/>
  <c r="C104" i="6"/>
  <c r="B104" i="6"/>
  <c r="A104" i="6"/>
  <c r="F103" i="6"/>
  <c r="E103" i="6"/>
  <c r="D103" i="6"/>
  <c r="C103" i="6"/>
  <c r="B103" i="6"/>
  <c r="A103" i="6"/>
  <c r="F102" i="6"/>
  <c r="E102" i="6"/>
  <c r="D102" i="6"/>
  <c r="C102" i="6"/>
  <c r="B102" i="6"/>
  <c r="A102" i="6"/>
  <c r="F101" i="6"/>
  <c r="E101" i="6"/>
  <c r="D101" i="6"/>
  <c r="C101" i="6"/>
  <c r="B101" i="6"/>
  <c r="A101" i="6"/>
  <c r="F100" i="6"/>
  <c r="E100" i="6"/>
  <c r="D100" i="6"/>
  <c r="C100" i="6"/>
  <c r="B100" i="6"/>
  <c r="A100" i="6"/>
  <c r="F99" i="6"/>
  <c r="E99" i="6"/>
  <c r="D99" i="6"/>
  <c r="C99" i="6"/>
  <c r="B99" i="6"/>
  <c r="A99" i="6"/>
  <c r="F98" i="6"/>
  <c r="E98" i="6"/>
  <c r="D98" i="6"/>
  <c r="C98" i="6"/>
  <c r="B98" i="6"/>
  <c r="A98" i="6"/>
  <c r="F97" i="6"/>
  <c r="E97" i="6"/>
  <c r="D97" i="6"/>
  <c r="C97" i="6"/>
  <c r="B97" i="6"/>
  <c r="A97" i="6"/>
  <c r="F96" i="6"/>
  <c r="E96" i="6"/>
  <c r="D96" i="6"/>
  <c r="C96" i="6"/>
  <c r="B96" i="6"/>
  <c r="A96" i="6"/>
  <c r="F95" i="6"/>
  <c r="E95" i="6"/>
  <c r="D95" i="6"/>
  <c r="C95" i="6"/>
  <c r="B95" i="6"/>
  <c r="A95" i="6"/>
  <c r="F94" i="6"/>
  <c r="E94" i="6"/>
  <c r="D94" i="6"/>
  <c r="C94" i="6"/>
  <c r="B94" i="6"/>
  <c r="A94" i="6"/>
  <c r="F93" i="6"/>
  <c r="E93" i="6"/>
  <c r="D93" i="6"/>
  <c r="C93" i="6"/>
  <c r="B93" i="6"/>
  <c r="A93" i="6"/>
  <c r="F92" i="6"/>
  <c r="E92" i="6"/>
  <c r="D92" i="6"/>
  <c r="C92" i="6"/>
  <c r="B92" i="6"/>
  <c r="A92" i="6"/>
  <c r="F91" i="6"/>
  <c r="E91" i="6"/>
  <c r="D91" i="6"/>
  <c r="C91" i="6"/>
  <c r="B91" i="6"/>
  <c r="A91" i="6"/>
  <c r="F90" i="6"/>
  <c r="E90" i="6"/>
  <c r="D90" i="6"/>
  <c r="C90" i="6"/>
  <c r="B90" i="6"/>
  <c r="A90" i="6"/>
  <c r="F89" i="6"/>
  <c r="E89" i="6"/>
  <c r="D89" i="6"/>
  <c r="C89" i="6"/>
  <c r="B89" i="6"/>
  <c r="A89" i="6"/>
  <c r="F88" i="6"/>
  <c r="E88" i="6"/>
  <c r="D88" i="6"/>
  <c r="C88" i="6"/>
  <c r="B88" i="6"/>
  <c r="A88" i="6"/>
  <c r="F87" i="6"/>
  <c r="E87" i="6"/>
  <c r="D87" i="6"/>
  <c r="C87" i="6"/>
  <c r="B87" i="6"/>
  <c r="A87" i="6"/>
  <c r="F86" i="6"/>
  <c r="E86" i="6"/>
  <c r="D86" i="6"/>
  <c r="C86" i="6"/>
  <c r="B86" i="6"/>
  <c r="A86" i="6"/>
  <c r="F85" i="6"/>
  <c r="E85" i="6"/>
  <c r="D85" i="6"/>
  <c r="C85" i="6"/>
  <c r="B85" i="6"/>
  <c r="A85" i="6"/>
  <c r="F84" i="6"/>
  <c r="E84" i="6"/>
  <c r="D84" i="6"/>
  <c r="C84" i="6"/>
  <c r="B84" i="6"/>
  <c r="A84" i="6"/>
  <c r="F83" i="6"/>
  <c r="E83" i="6"/>
  <c r="D83" i="6"/>
  <c r="C83" i="6"/>
  <c r="B83" i="6"/>
  <c r="A83" i="6"/>
  <c r="F82" i="6"/>
  <c r="E82" i="6"/>
  <c r="D82" i="6"/>
  <c r="C82" i="6"/>
  <c r="B82" i="6"/>
  <c r="A82" i="6"/>
  <c r="F81" i="6"/>
  <c r="E81" i="6"/>
  <c r="D81" i="6"/>
  <c r="C81" i="6"/>
  <c r="B81" i="6"/>
  <c r="A81" i="6"/>
  <c r="F80" i="6"/>
  <c r="E80" i="6"/>
  <c r="D80" i="6"/>
  <c r="C80" i="6"/>
  <c r="B80" i="6"/>
  <c r="A80" i="6"/>
  <c r="F79" i="6"/>
  <c r="E79" i="6"/>
  <c r="D79" i="6"/>
  <c r="C79" i="6"/>
  <c r="B79" i="6"/>
  <c r="A79" i="6"/>
  <c r="F78" i="6"/>
  <c r="E78" i="6"/>
  <c r="D78" i="6"/>
  <c r="C78" i="6"/>
  <c r="B78" i="6"/>
  <c r="A78" i="6"/>
  <c r="F77" i="6"/>
  <c r="E77" i="6"/>
  <c r="D77" i="6"/>
  <c r="C77" i="6"/>
  <c r="B77" i="6"/>
  <c r="A77" i="6"/>
  <c r="F76" i="6"/>
  <c r="E76" i="6"/>
  <c r="D76" i="6"/>
  <c r="C76" i="6"/>
  <c r="B76" i="6"/>
  <c r="A76" i="6"/>
  <c r="F75" i="6"/>
  <c r="E75" i="6"/>
  <c r="D75" i="6"/>
  <c r="C75" i="6"/>
  <c r="B75" i="6"/>
  <c r="A75" i="6"/>
  <c r="F74" i="6"/>
  <c r="E74" i="6"/>
  <c r="D74" i="6"/>
  <c r="C74" i="6"/>
  <c r="B74" i="6"/>
  <c r="A74" i="6"/>
  <c r="F73" i="6"/>
  <c r="E73" i="6"/>
  <c r="D73" i="6"/>
  <c r="C73" i="6"/>
  <c r="B73" i="6"/>
  <c r="A73" i="6"/>
  <c r="F72" i="6"/>
  <c r="E72" i="6"/>
  <c r="D72" i="6"/>
  <c r="C72" i="6"/>
  <c r="B72" i="6"/>
  <c r="A72" i="6"/>
  <c r="F71" i="6"/>
  <c r="E71" i="6"/>
  <c r="D71" i="6"/>
  <c r="C71" i="6"/>
  <c r="B71" i="6"/>
  <c r="A71" i="6"/>
  <c r="F70" i="6"/>
  <c r="E70" i="6"/>
  <c r="D70" i="6"/>
  <c r="C70" i="6"/>
  <c r="B70" i="6"/>
  <c r="A70" i="6"/>
  <c r="F69" i="6"/>
  <c r="E69" i="6"/>
  <c r="D69" i="6"/>
  <c r="C69" i="6"/>
  <c r="B69" i="6"/>
  <c r="A69" i="6"/>
  <c r="F68" i="6"/>
  <c r="E68" i="6"/>
  <c r="D68" i="6"/>
  <c r="C68" i="6"/>
  <c r="B68" i="6"/>
  <c r="A68" i="6"/>
  <c r="F67" i="6"/>
  <c r="E67" i="6"/>
  <c r="D67" i="6"/>
  <c r="C67" i="6"/>
  <c r="B67" i="6"/>
  <c r="A67" i="6"/>
  <c r="F66" i="6"/>
  <c r="E66" i="6"/>
  <c r="D66" i="6"/>
  <c r="C66" i="6"/>
  <c r="B66" i="6"/>
  <c r="A66" i="6"/>
  <c r="F65" i="6"/>
  <c r="E65" i="6"/>
  <c r="D65" i="6"/>
  <c r="C65" i="6"/>
  <c r="B65" i="6"/>
  <c r="A65" i="6"/>
  <c r="F64" i="6"/>
  <c r="E64" i="6"/>
  <c r="D64" i="6"/>
  <c r="C64" i="6"/>
  <c r="B64" i="6"/>
  <c r="A64" i="6"/>
  <c r="F63" i="6"/>
  <c r="E63" i="6"/>
  <c r="D63" i="6"/>
  <c r="C63" i="6"/>
  <c r="B63" i="6"/>
  <c r="A63" i="6"/>
  <c r="F62" i="6"/>
  <c r="E62" i="6"/>
  <c r="D62" i="6"/>
  <c r="C62" i="6"/>
  <c r="B62" i="6"/>
  <c r="A62" i="6"/>
  <c r="F61" i="6"/>
  <c r="E61" i="6"/>
  <c r="D61" i="6"/>
  <c r="C61" i="6"/>
  <c r="B61" i="6"/>
  <c r="A61" i="6"/>
  <c r="F60" i="6"/>
  <c r="E60" i="6"/>
  <c r="D60" i="6"/>
  <c r="C60" i="6"/>
  <c r="B60" i="6"/>
  <c r="A60" i="6"/>
  <c r="F59" i="6"/>
  <c r="E59" i="6"/>
  <c r="D59" i="6"/>
  <c r="C59" i="6"/>
  <c r="B59" i="6"/>
  <c r="A59" i="6"/>
  <c r="F58" i="6"/>
  <c r="E58" i="6"/>
  <c r="D58" i="6"/>
  <c r="C58" i="6"/>
  <c r="B58" i="6"/>
  <c r="A58" i="6"/>
  <c r="F57" i="6"/>
  <c r="E57" i="6"/>
  <c r="D57" i="6"/>
  <c r="C57" i="6"/>
  <c r="B57" i="6"/>
  <c r="A57" i="6"/>
  <c r="F56" i="6"/>
  <c r="E56" i="6"/>
  <c r="D56" i="6"/>
  <c r="C56" i="6"/>
  <c r="B56" i="6"/>
  <c r="A56" i="6"/>
  <c r="F55" i="6"/>
  <c r="E55" i="6"/>
  <c r="D55" i="6"/>
  <c r="C55" i="6"/>
  <c r="B55" i="6"/>
  <c r="A55" i="6"/>
  <c r="F54" i="6"/>
  <c r="E54" i="6"/>
  <c r="D54" i="6"/>
  <c r="C54" i="6"/>
  <c r="B54" i="6"/>
  <c r="A54" i="6"/>
  <c r="F53" i="6"/>
  <c r="E53" i="6"/>
  <c r="D53" i="6"/>
  <c r="C53" i="6"/>
  <c r="B53" i="6"/>
  <c r="A53" i="6"/>
  <c r="F52" i="6"/>
  <c r="E52" i="6"/>
  <c r="D52" i="6"/>
  <c r="C52" i="6"/>
  <c r="B52" i="6"/>
  <c r="A52" i="6"/>
  <c r="F51" i="6"/>
  <c r="E51" i="6"/>
  <c r="D51" i="6"/>
  <c r="C51" i="6"/>
  <c r="B51" i="6"/>
  <c r="A51" i="6"/>
  <c r="F50" i="6"/>
  <c r="E50" i="6"/>
  <c r="D50" i="6"/>
  <c r="C50" i="6"/>
  <c r="B50" i="6"/>
  <c r="A50" i="6"/>
  <c r="F49" i="6"/>
  <c r="E49" i="6"/>
  <c r="D49" i="6"/>
  <c r="C49" i="6"/>
  <c r="B49" i="6"/>
  <c r="A49" i="6"/>
  <c r="F48" i="6"/>
  <c r="E48" i="6"/>
  <c r="D48" i="6"/>
  <c r="C48" i="6"/>
  <c r="B48" i="6"/>
  <c r="A48" i="6"/>
  <c r="F47" i="6"/>
  <c r="E47" i="6"/>
  <c r="D47" i="6"/>
  <c r="C47" i="6"/>
  <c r="B47" i="6"/>
  <c r="A47" i="6"/>
  <c r="F46" i="6"/>
  <c r="E46" i="6"/>
  <c r="D46" i="6"/>
  <c r="C46" i="6"/>
  <c r="B46" i="6"/>
  <c r="A46" i="6"/>
  <c r="F45" i="6"/>
  <c r="E45" i="6"/>
  <c r="D45" i="6"/>
  <c r="C45" i="6"/>
  <c r="B45" i="6"/>
  <c r="A45" i="6"/>
  <c r="F44" i="6"/>
  <c r="E44" i="6"/>
  <c r="D44" i="6"/>
  <c r="C44" i="6"/>
  <c r="B44" i="6"/>
  <c r="A44" i="6"/>
  <c r="F43" i="6"/>
  <c r="E43" i="6"/>
  <c r="D43" i="6"/>
  <c r="C43" i="6"/>
  <c r="B43" i="6"/>
  <c r="A43" i="6"/>
  <c r="F42" i="6"/>
  <c r="E42" i="6"/>
  <c r="D42" i="6"/>
  <c r="C42" i="6"/>
  <c r="B42" i="6"/>
  <c r="A42" i="6"/>
  <c r="F41" i="6"/>
  <c r="E41" i="6"/>
  <c r="D41" i="6"/>
  <c r="C41" i="6"/>
  <c r="B41" i="6"/>
  <c r="A41" i="6"/>
  <c r="F40" i="6"/>
  <c r="E40" i="6"/>
  <c r="D40" i="6"/>
  <c r="C40" i="6"/>
  <c r="B40" i="6"/>
  <c r="A40" i="6"/>
  <c r="F39" i="6"/>
  <c r="E39" i="6"/>
  <c r="D39" i="6"/>
  <c r="C39" i="6"/>
  <c r="B39" i="6"/>
  <c r="A39" i="6"/>
  <c r="F38" i="6"/>
  <c r="E38" i="6"/>
  <c r="D38" i="6"/>
  <c r="C38" i="6"/>
  <c r="B38" i="6"/>
  <c r="A38" i="6"/>
  <c r="F37" i="6"/>
  <c r="E37" i="6"/>
  <c r="D37" i="6"/>
  <c r="C37" i="6"/>
  <c r="B37" i="6"/>
  <c r="A37" i="6"/>
  <c r="F36" i="6"/>
  <c r="E36" i="6"/>
  <c r="D36" i="6"/>
  <c r="C36" i="6"/>
  <c r="B36" i="6"/>
  <c r="A36" i="6"/>
  <c r="F35" i="6"/>
  <c r="E35" i="6"/>
  <c r="D35" i="6"/>
  <c r="C35" i="6"/>
  <c r="B35" i="6"/>
  <c r="A35" i="6"/>
  <c r="F34" i="6"/>
  <c r="E34" i="6"/>
  <c r="D34" i="6"/>
  <c r="C34" i="6"/>
  <c r="B34" i="6"/>
  <c r="A34" i="6"/>
  <c r="F33" i="6"/>
  <c r="E33" i="6"/>
  <c r="D33" i="6"/>
  <c r="C33" i="6"/>
  <c r="B33" i="6"/>
  <c r="A33" i="6"/>
  <c r="F32" i="6"/>
  <c r="E32" i="6"/>
  <c r="D32" i="6"/>
  <c r="C32" i="6"/>
  <c r="B32" i="6"/>
  <c r="A32" i="6"/>
  <c r="F31" i="6"/>
  <c r="E31" i="6"/>
  <c r="D31" i="6"/>
  <c r="C31" i="6"/>
  <c r="B31" i="6"/>
  <c r="A31" i="6"/>
  <c r="F30" i="6"/>
  <c r="E30" i="6"/>
  <c r="D30" i="6"/>
  <c r="C30" i="6"/>
  <c r="B30" i="6"/>
  <c r="A30" i="6"/>
  <c r="F29" i="6"/>
  <c r="E29" i="6"/>
  <c r="D29" i="6"/>
  <c r="C29" i="6"/>
  <c r="B29" i="6"/>
  <c r="A29" i="6"/>
  <c r="F28" i="6"/>
  <c r="E28" i="6"/>
  <c r="D28" i="6"/>
  <c r="C28" i="6"/>
  <c r="B28" i="6"/>
  <c r="A28" i="6"/>
  <c r="F27" i="6"/>
  <c r="E27" i="6"/>
  <c r="D27" i="6"/>
  <c r="C27" i="6"/>
  <c r="B27" i="6"/>
  <c r="A27" i="6"/>
  <c r="F26" i="6"/>
  <c r="E26" i="6"/>
  <c r="D26" i="6"/>
  <c r="C26" i="6"/>
  <c r="B26" i="6"/>
  <c r="A26" i="6"/>
  <c r="F25" i="6"/>
  <c r="E25" i="6"/>
  <c r="D25" i="6"/>
  <c r="C25" i="6"/>
  <c r="B25" i="6"/>
  <c r="A25" i="6"/>
  <c r="F24" i="6"/>
  <c r="E24" i="6"/>
  <c r="D24" i="6"/>
  <c r="C24" i="6"/>
  <c r="B24" i="6"/>
  <c r="A24" i="6"/>
  <c r="F23" i="6"/>
  <c r="E23" i="6"/>
  <c r="D23" i="6"/>
  <c r="C23" i="6"/>
  <c r="B23" i="6"/>
  <c r="A23" i="6"/>
  <c r="F22" i="6"/>
  <c r="E22" i="6"/>
  <c r="D22" i="6"/>
  <c r="C22" i="6"/>
  <c r="B22" i="6"/>
  <c r="A22" i="6"/>
  <c r="F21" i="6"/>
  <c r="E21" i="6"/>
  <c r="D21" i="6"/>
  <c r="C21" i="6"/>
  <c r="B21" i="6"/>
  <c r="A21" i="6"/>
  <c r="F20" i="6"/>
  <c r="E20" i="6"/>
  <c r="D20" i="6"/>
  <c r="C20" i="6"/>
  <c r="B20" i="6"/>
  <c r="A20" i="6"/>
  <c r="F19" i="6"/>
  <c r="E19" i="6"/>
  <c r="D19" i="6"/>
  <c r="C19" i="6"/>
  <c r="B19" i="6"/>
  <c r="A19" i="6"/>
  <c r="F18" i="6"/>
  <c r="E18" i="6"/>
  <c r="D18" i="6"/>
  <c r="C18" i="6"/>
  <c r="B18" i="6"/>
  <c r="A18" i="6"/>
  <c r="F17" i="6"/>
  <c r="E17" i="6"/>
  <c r="D17" i="6"/>
  <c r="C17" i="6"/>
  <c r="B17" i="6"/>
  <c r="A17" i="6"/>
  <c r="F16" i="6"/>
  <c r="E16" i="6"/>
  <c r="D16" i="6"/>
  <c r="C16" i="6"/>
  <c r="B16" i="6"/>
  <c r="A16" i="6"/>
  <c r="F15" i="6"/>
  <c r="E15" i="6"/>
  <c r="D15" i="6"/>
  <c r="C15" i="6"/>
  <c r="B15" i="6"/>
  <c r="A15" i="6"/>
  <c r="F14" i="6"/>
  <c r="E14" i="6"/>
  <c r="D14" i="6"/>
  <c r="C14" i="6"/>
  <c r="B14" i="6"/>
  <c r="A14" i="6"/>
  <c r="F13" i="6"/>
  <c r="E13" i="6"/>
  <c r="D13" i="6"/>
  <c r="C13" i="6"/>
  <c r="B13" i="6"/>
  <c r="A13" i="6"/>
  <c r="F12" i="6"/>
  <c r="E12" i="6"/>
  <c r="D12" i="6"/>
  <c r="C12" i="6"/>
  <c r="B12" i="6"/>
  <c r="A12" i="6"/>
  <c r="F11" i="6"/>
  <c r="E11" i="6"/>
  <c r="D11" i="6"/>
  <c r="C11" i="6"/>
  <c r="B11" i="6"/>
  <c r="A11" i="6"/>
  <c r="F10" i="6"/>
  <c r="E10" i="6"/>
  <c r="D10" i="6"/>
  <c r="C10" i="6"/>
  <c r="B10" i="6"/>
  <c r="A10" i="6"/>
  <c r="F9" i="6"/>
  <c r="E9" i="6"/>
  <c r="D9" i="6"/>
  <c r="C9" i="6"/>
  <c r="B9" i="6"/>
  <c r="A9" i="6"/>
  <c r="F8" i="6"/>
  <c r="E8" i="6"/>
  <c r="D8" i="6"/>
  <c r="C8" i="6"/>
  <c r="B8" i="6"/>
  <c r="A8" i="6"/>
  <c r="F7" i="6"/>
  <c r="E7" i="6"/>
  <c r="D7" i="6"/>
  <c r="C7" i="6"/>
  <c r="B7" i="6"/>
  <c r="A7" i="6"/>
  <c r="F6" i="6"/>
  <c r="E6" i="6"/>
  <c r="D6" i="6"/>
  <c r="C6" i="6"/>
  <c r="B6" i="6"/>
  <c r="A6" i="6"/>
  <c r="F5" i="6"/>
  <c r="E5" i="6"/>
  <c r="D5" i="6"/>
  <c r="C5" i="6"/>
  <c r="B5" i="6"/>
  <c r="A5" i="6"/>
  <c r="F4" i="6"/>
  <c r="E4" i="6"/>
  <c r="D4" i="6"/>
  <c r="C4" i="6"/>
  <c r="B4" i="6"/>
  <c r="A4" i="6"/>
  <c r="F3" i="6"/>
  <c r="E3" i="6"/>
  <c r="D3" i="6"/>
  <c r="C3" i="6"/>
  <c r="B3" i="6"/>
  <c r="A3" i="6"/>
  <c r="F2" i="6"/>
  <c r="E2" i="6"/>
  <c r="D2" i="6"/>
  <c r="C2" i="6"/>
  <c r="B2" i="6"/>
  <c r="A2" i="6"/>
  <c r="F760" i="5"/>
  <c r="E760" i="5"/>
  <c r="D760" i="5"/>
  <c r="C760" i="5"/>
  <c r="B760" i="5"/>
  <c r="A760" i="5"/>
  <c r="F759" i="5"/>
  <c r="E759" i="5"/>
  <c r="D759" i="5"/>
  <c r="C759" i="5"/>
  <c r="B759" i="5"/>
  <c r="A759" i="5"/>
  <c r="F758" i="5"/>
  <c r="E758" i="5"/>
  <c r="D758" i="5"/>
  <c r="F757" i="5"/>
  <c r="E757" i="5"/>
  <c r="D757" i="5"/>
  <c r="C757" i="5"/>
  <c r="B757" i="5"/>
  <c r="A757" i="5"/>
  <c r="F756" i="5"/>
  <c r="E756" i="5"/>
  <c r="D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F749" i="5"/>
  <c r="E749" i="5"/>
  <c r="D749" i="5"/>
  <c r="C749" i="5"/>
  <c r="B749" i="5"/>
  <c r="A749" i="5"/>
  <c r="F748" i="5"/>
  <c r="E748" i="5"/>
  <c r="D748" i="5"/>
  <c r="C748" i="5"/>
  <c r="B748" i="5"/>
  <c r="A748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F738" i="5"/>
  <c r="E738" i="5"/>
  <c r="D738" i="5"/>
  <c r="C738" i="5"/>
  <c r="B738" i="5"/>
  <c r="A738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2" i="5"/>
  <c r="E732" i="5"/>
  <c r="D732" i="5"/>
  <c r="C732" i="5"/>
  <c r="B732" i="5"/>
  <c r="A732" i="5"/>
  <c r="F731" i="5"/>
  <c r="E731" i="5"/>
  <c r="D731" i="5"/>
  <c r="C731" i="5"/>
  <c r="B731" i="5"/>
  <c r="A731" i="5"/>
  <c r="F730" i="5"/>
  <c r="E730" i="5"/>
  <c r="D730" i="5"/>
  <c r="C730" i="5"/>
  <c r="B730" i="5"/>
  <c r="A730" i="5"/>
  <c r="F729" i="5"/>
  <c r="E729" i="5"/>
  <c r="D729" i="5"/>
  <c r="C729" i="5"/>
  <c r="B729" i="5"/>
  <c r="A729" i="5"/>
  <c r="F728" i="5"/>
  <c r="E728" i="5"/>
  <c r="D728" i="5"/>
  <c r="C728" i="5"/>
  <c r="B728" i="5"/>
  <c r="A728" i="5"/>
  <c r="F727" i="5"/>
  <c r="E727" i="5"/>
  <c r="D727" i="5"/>
  <c r="C727" i="5"/>
  <c r="B727" i="5"/>
  <c r="A727" i="5"/>
  <c r="F726" i="5"/>
  <c r="E726" i="5"/>
  <c r="D726" i="5"/>
  <c r="C726" i="5"/>
  <c r="B726" i="5"/>
  <c r="A726" i="5"/>
  <c r="F725" i="5"/>
  <c r="E725" i="5"/>
  <c r="D725" i="5"/>
  <c r="C725" i="5"/>
  <c r="B725" i="5"/>
  <c r="A725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20" i="5"/>
  <c r="E720" i="5"/>
  <c r="D720" i="5"/>
  <c r="C720" i="5"/>
  <c r="B720" i="5"/>
  <c r="A720" i="5"/>
  <c r="F719" i="5"/>
  <c r="E719" i="5"/>
  <c r="D719" i="5"/>
  <c r="C719" i="5"/>
  <c r="B719" i="5"/>
  <c r="A719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F712" i="5"/>
  <c r="E712" i="5"/>
  <c r="D712" i="5"/>
  <c r="C712" i="5"/>
  <c r="B712" i="5"/>
  <c r="A712" i="5"/>
  <c r="F711" i="5"/>
  <c r="E711" i="5"/>
  <c r="D711" i="5"/>
  <c r="C711" i="5"/>
  <c r="B711" i="5"/>
  <c r="A711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3" i="5"/>
  <c r="E703" i="5"/>
  <c r="D703" i="5"/>
  <c r="C703" i="5"/>
  <c r="B703" i="5"/>
  <c r="A703" i="5"/>
  <c r="F702" i="5"/>
  <c r="E702" i="5"/>
  <c r="D702" i="5"/>
  <c r="C702" i="5"/>
  <c r="B702" i="5"/>
  <c r="A702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F688" i="5"/>
  <c r="E688" i="5"/>
  <c r="D688" i="5"/>
  <c r="C688" i="5"/>
  <c r="B688" i="5"/>
  <c r="A688" i="5"/>
  <c r="F687" i="5"/>
  <c r="E687" i="5"/>
  <c r="D687" i="5"/>
  <c r="C687" i="5"/>
  <c r="B687" i="5"/>
  <c r="A687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2" i="5"/>
  <c r="E672" i="5"/>
  <c r="D672" i="5"/>
  <c r="C672" i="5"/>
  <c r="B672" i="5"/>
  <c r="A672" i="5"/>
  <c r="F671" i="5"/>
  <c r="E671" i="5"/>
  <c r="D671" i="5"/>
  <c r="C671" i="5"/>
  <c r="B671" i="5"/>
  <c r="A671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F668" i="5"/>
  <c r="E668" i="5"/>
  <c r="D668" i="5"/>
  <c r="C668" i="5"/>
  <c r="B668" i="5"/>
  <c r="A668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2" i="5"/>
  <c r="E662" i="5"/>
  <c r="D662" i="5"/>
  <c r="C662" i="5"/>
  <c r="B662" i="5"/>
  <c r="A662" i="5"/>
  <c r="F661" i="5"/>
  <c r="E661" i="5"/>
  <c r="D661" i="5"/>
  <c r="C661" i="5"/>
  <c r="B661" i="5"/>
  <c r="A661" i="5"/>
  <c r="F660" i="5"/>
  <c r="E660" i="5"/>
  <c r="D660" i="5"/>
  <c r="C660" i="5"/>
  <c r="B660" i="5"/>
  <c r="A660" i="5"/>
  <c r="F659" i="5"/>
  <c r="E659" i="5"/>
  <c r="D659" i="5"/>
  <c r="C659" i="5"/>
  <c r="B659" i="5"/>
  <c r="A659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4" i="5"/>
  <c r="E654" i="5"/>
  <c r="D654" i="5"/>
  <c r="C654" i="5"/>
  <c r="B654" i="5"/>
  <c r="A654" i="5"/>
  <c r="F653" i="5"/>
  <c r="E653" i="5"/>
  <c r="D653" i="5"/>
  <c r="C653" i="5"/>
  <c r="B653" i="5"/>
  <c r="A653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F650" i="5"/>
  <c r="E650" i="5"/>
  <c r="D650" i="5"/>
  <c r="C650" i="5"/>
  <c r="B650" i="5"/>
  <c r="A650" i="5"/>
  <c r="F649" i="5"/>
  <c r="E649" i="5"/>
  <c r="D649" i="5"/>
  <c r="C649" i="5"/>
  <c r="B649" i="5"/>
  <c r="A649" i="5"/>
  <c r="F648" i="5"/>
  <c r="E648" i="5"/>
  <c r="D648" i="5"/>
  <c r="C648" i="5"/>
  <c r="B648" i="5"/>
  <c r="A648" i="5"/>
  <c r="F647" i="5"/>
  <c r="E647" i="5"/>
  <c r="D647" i="5"/>
  <c r="C647" i="5"/>
  <c r="B647" i="5"/>
  <c r="A647" i="5"/>
  <c r="F646" i="5"/>
  <c r="E646" i="5"/>
  <c r="D646" i="5"/>
  <c r="C646" i="5"/>
  <c r="B646" i="5"/>
  <c r="A646" i="5"/>
  <c r="F645" i="5"/>
  <c r="E645" i="5"/>
  <c r="D645" i="5"/>
  <c r="C645" i="5"/>
  <c r="B645" i="5"/>
  <c r="A645" i="5"/>
  <c r="F644" i="5"/>
  <c r="E644" i="5"/>
  <c r="D644" i="5"/>
  <c r="C644" i="5"/>
  <c r="B644" i="5"/>
  <c r="A644" i="5"/>
  <c r="F643" i="5"/>
  <c r="E643" i="5"/>
  <c r="D643" i="5"/>
  <c r="C643" i="5"/>
  <c r="B643" i="5"/>
  <c r="A643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F639" i="5"/>
  <c r="E639" i="5"/>
  <c r="D639" i="5"/>
  <c r="C639" i="5"/>
  <c r="B639" i="5"/>
  <c r="A639" i="5"/>
  <c r="F638" i="5"/>
  <c r="E638" i="5"/>
  <c r="D638" i="5"/>
  <c r="C638" i="5"/>
  <c r="B638" i="5"/>
  <c r="A638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4" i="5"/>
  <c r="E634" i="5"/>
  <c r="D634" i="5"/>
  <c r="C634" i="5"/>
  <c r="B634" i="5"/>
  <c r="A634" i="5"/>
  <c r="F633" i="5"/>
  <c r="E633" i="5"/>
  <c r="D633" i="5"/>
  <c r="C633" i="5"/>
  <c r="B633" i="5"/>
  <c r="A633" i="5"/>
  <c r="F632" i="5"/>
  <c r="E632" i="5"/>
  <c r="D632" i="5"/>
  <c r="C632" i="5"/>
  <c r="B632" i="5"/>
  <c r="A632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F620" i="5"/>
  <c r="E620" i="5"/>
  <c r="D620" i="5"/>
  <c r="C620" i="5"/>
  <c r="B620" i="5"/>
  <c r="A620" i="5"/>
  <c r="F619" i="5"/>
  <c r="E619" i="5"/>
  <c r="D619" i="5"/>
  <c r="C619" i="5"/>
  <c r="B619" i="5"/>
  <c r="A619" i="5"/>
  <c r="F618" i="5"/>
  <c r="E618" i="5"/>
  <c r="D618" i="5"/>
  <c r="C618" i="5"/>
  <c r="B618" i="5"/>
  <c r="A618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F615" i="5"/>
  <c r="E615" i="5"/>
  <c r="D615" i="5"/>
  <c r="C615" i="5"/>
  <c r="B615" i="5"/>
  <c r="A615" i="5"/>
  <c r="F614" i="5"/>
  <c r="E614" i="5"/>
  <c r="D614" i="5"/>
  <c r="C614" i="5"/>
  <c r="B614" i="5"/>
  <c r="A614" i="5"/>
  <c r="F613" i="5"/>
  <c r="E613" i="5"/>
  <c r="D613" i="5"/>
  <c r="C613" i="5"/>
  <c r="B613" i="5"/>
  <c r="A613" i="5"/>
  <c r="F612" i="5"/>
  <c r="E612" i="5"/>
  <c r="D612" i="5"/>
  <c r="C612" i="5"/>
  <c r="B612" i="5"/>
  <c r="A612" i="5"/>
  <c r="F611" i="5"/>
  <c r="E611" i="5"/>
  <c r="D611" i="5"/>
  <c r="C611" i="5"/>
  <c r="B611" i="5"/>
  <c r="A611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600" i="5"/>
  <c r="E600" i="5"/>
  <c r="D600" i="5"/>
  <c r="C600" i="5"/>
  <c r="B600" i="5"/>
  <c r="A600" i="5"/>
  <c r="F599" i="5"/>
  <c r="E599" i="5"/>
  <c r="D599" i="5"/>
  <c r="C599" i="5"/>
  <c r="B599" i="5"/>
  <c r="A599" i="5"/>
  <c r="F598" i="5"/>
  <c r="E598" i="5"/>
  <c r="D598" i="5"/>
  <c r="C598" i="5"/>
  <c r="B598" i="5"/>
  <c r="A598" i="5"/>
  <c r="F597" i="5"/>
  <c r="E597" i="5"/>
  <c r="D597" i="5"/>
  <c r="C597" i="5"/>
  <c r="B597" i="5"/>
  <c r="A597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4" i="5"/>
  <c r="E594" i="5"/>
  <c r="D594" i="5"/>
  <c r="C594" i="5"/>
  <c r="B594" i="5"/>
  <c r="A594" i="5"/>
  <c r="F593" i="5"/>
  <c r="E593" i="5"/>
  <c r="D593" i="5"/>
  <c r="C593" i="5"/>
  <c r="B593" i="5"/>
  <c r="A593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1" i="5"/>
  <c r="E581" i="5"/>
  <c r="D581" i="5"/>
  <c r="C581" i="5"/>
  <c r="B581" i="5"/>
  <c r="A581" i="5"/>
  <c r="F580" i="5"/>
  <c r="E580" i="5"/>
  <c r="D580" i="5"/>
  <c r="C580" i="5"/>
  <c r="B580" i="5"/>
  <c r="A580" i="5"/>
  <c r="F579" i="5"/>
  <c r="E579" i="5"/>
  <c r="D579" i="5"/>
  <c r="C579" i="5"/>
  <c r="B579" i="5"/>
  <c r="A579" i="5"/>
  <c r="F578" i="5"/>
  <c r="E578" i="5"/>
  <c r="D578" i="5"/>
  <c r="C578" i="5"/>
  <c r="B578" i="5"/>
  <c r="A578" i="5"/>
  <c r="F577" i="5"/>
  <c r="E577" i="5"/>
  <c r="D577" i="5"/>
  <c r="C577" i="5"/>
  <c r="B577" i="5"/>
  <c r="A577" i="5"/>
  <c r="F576" i="5"/>
  <c r="E576" i="5"/>
  <c r="D576" i="5"/>
  <c r="C576" i="5"/>
  <c r="B576" i="5"/>
  <c r="A576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F570" i="5"/>
  <c r="E570" i="5"/>
  <c r="D570" i="5"/>
  <c r="C570" i="5"/>
  <c r="B570" i="5"/>
  <c r="A570" i="5"/>
  <c r="F569" i="5"/>
  <c r="E569" i="5"/>
  <c r="D569" i="5"/>
  <c r="C569" i="5"/>
  <c r="B569" i="5"/>
  <c r="A569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F555" i="5"/>
  <c r="E555" i="5"/>
  <c r="D555" i="5"/>
  <c r="C555" i="5"/>
  <c r="B555" i="5"/>
  <c r="A555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F538" i="5"/>
  <c r="E538" i="5"/>
  <c r="D538" i="5"/>
  <c r="C538" i="5"/>
  <c r="B538" i="5"/>
  <c r="A538" i="5"/>
  <c r="F537" i="5"/>
  <c r="E537" i="5"/>
  <c r="D537" i="5"/>
  <c r="C537" i="5"/>
  <c r="B537" i="5"/>
  <c r="A537" i="5"/>
  <c r="F536" i="5"/>
  <c r="E536" i="5"/>
  <c r="D536" i="5"/>
  <c r="C536" i="5"/>
  <c r="B536" i="5"/>
  <c r="A536" i="5"/>
  <c r="F535" i="5"/>
  <c r="E535" i="5"/>
  <c r="D535" i="5"/>
  <c r="C535" i="5"/>
  <c r="B535" i="5"/>
  <c r="A535" i="5"/>
  <c r="F534" i="5"/>
  <c r="E534" i="5"/>
  <c r="D534" i="5"/>
  <c r="C534" i="5"/>
  <c r="B534" i="5"/>
  <c r="A534" i="5"/>
  <c r="F533" i="5"/>
  <c r="E533" i="5"/>
  <c r="D533" i="5"/>
  <c r="C533" i="5"/>
  <c r="B533" i="5"/>
  <c r="A533" i="5"/>
  <c r="F532" i="5"/>
  <c r="E532" i="5"/>
  <c r="D532" i="5"/>
  <c r="C532" i="5"/>
  <c r="B532" i="5"/>
  <c r="A532" i="5"/>
  <c r="F531" i="5"/>
  <c r="E531" i="5"/>
  <c r="D531" i="5"/>
  <c r="C531" i="5"/>
  <c r="B531" i="5"/>
  <c r="A531" i="5"/>
  <c r="F530" i="5"/>
  <c r="E530" i="5"/>
  <c r="D530" i="5"/>
  <c r="C530" i="5"/>
  <c r="B530" i="5"/>
  <c r="A530" i="5"/>
  <c r="F529" i="5"/>
  <c r="E529" i="5"/>
  <c r="D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5" i="5"/>
  <c r="E525" i="5"/>
  <c r="D525" i="5"/>
  <c r="C525" i="5"/>
  <c r="B525" i="5"/>
  <c r="A525" i="5"/>
  <c r="F524" i="5"/>
  <c r="E524" i="5"/>
  <c r="D524" i="5"/>
  <c r="C524" i="5"/>
  <c r="B524" i="5"/>
  <c r="A524" i="5"/>
  <c r="F523" i="5"/>
  <c r="E523" i="5"/>
  <c r="D523" i="5"/>
  <c r="C523" i="5"/>
  <c r="B523" i="5"/>
  <c r="A523" i="5"/>
  <c r="F522" i="5"/>
  <c r="E522" i="5"/>
  <c r="D522" i="5"/>
  <c r="C522" i="5"/>
  <c r="B522" i="5"/>
  <c r="A522" i="5"/>
  <c r="F521" i="5"/>
  <c r="E521" i="5"/>
  <c r="D521" i="5"/>
  <c r="C521" i="5"/>
  <c r="B521" i="5"/>
  <c r="A521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8" i="5"/>
  <c r="E518" i="5"/>
  <c r="D518" i="5"/>
  <c r="C518" i="5"/>
  <c r="B518" i="5"/>
  <c r="A518" i="5"/>
  <c r="F517" i="5"/>
  <c r="E517" i="5"/>
  <c r="D517" i="5"/>
  <c r="C517" i="5"/>
  <c r="B517" i="5"/>
  <c r="A517" i="5"/>
  <c r="F516" i="5"/>
  <c r="E516" i="5"/>
  <c r="D516" i="5"/>
  <c r="F515" i="5"/>
  <c r="E515" i="5"/>
  <c r="D515" i="5"/>
  <c r="C515" i="5"/>
  <c r="B515" i="5"/>
  <c r="A515" i="5"/>
  <c r="F514" i="5"/>
  <c r="E514" i="5"/>
  <c r="D514" i="5"/>
  <c r="C514" i="5"/>
  <c r="B514" i="5"/>
  <c r="A514" i="5"/>
  <c r="F513" i="5"/>
  <c r="E513" i="5"/>
  <c r="D513" i="5"/>
  <c r="C513" i="5"/>
  <c r="B513" i="5"/>
  <c r="A513" i="5"/>
  <c r="F512" i="5"/>
  <c r="E512" i="5"/>
  <c r="D512" i="5"/>
  <c r="C512" i="5"/>
  <c r="B512" i="5"/>
  <c r="A512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F509" i="5"/>
  <c r="E509" i="5"/>
  <c r="D509" i="5"/>
  <c r="C509" i="5"/>
  <c r="B509" i="5"/>
  <c r="A509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4" i="5"/>
  <c r="E504" i="5"/>
  <c r="D504" i="5"/>
  <c r="C504" i="5"/>
  <c r="B504" i="5"/>
  <c r="A504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F499" i="5"/>
  <c r="E499" i="5"/>
  <c r="D499" i="5"/>
  <c r="C499" i="5"/>
  <c r="B499" i="5"/>
  <c r="A499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2" i="5"/>
  <c r="E492" i="5"/>
  <c r="D492" i="5"/>
  <c r="C492" i="5"/>
  <c r="B492" i="5"/>
  <c r="A492" i="5"/>
  <c r="F491" i="5"/>
  <c r="E491" i="5"/>
  <c r="D491" i="5"/>
  <c r="C491" i="5"/>
  <c r="B491" i="5"/>
  <c r="A491" i="5"/>
  <c r="F490" i="5"/>
  <c r="E490" i="5"/>
  <c r="D490" i="5"/>
  <c r="C490" i="5"/>
  <c r="B490" i="5"/>
  <c r="A490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F483" i="5"/>
  <c r="E483" i="5"/>
  <c r="D483" i="5"/>
  <c r="C483" i="5"/>
  <c r="B483" i="5"/>
  <c r="A483" i="5"/>
  <c r="F482" i="5"/>
  <c r="E482" i="5"/>
  <c r="D482" i="5"/>
  <c r="C482" i="5"/>
  <c r="B482" i="5"/>
  <c r="A482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F476" i="5"/>
  <c r="E476" i="5"/>
  <c r="D476" i="5"/>
  <c r="C476" i="5"/>
  <c r="B476" i="5"/>
  <c r="A476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F471" i="5"/>
  <c r="E471" i="5"/>
  <c r="D471" i="5"/>
  <c r="C471" i="5"/>
  <c r="B471" i="5"/>
  <c r="A471" i="5"/>
  <c r="F470" i="5"/>
  <c r="E470" i="5"/>
  <c r="D470" i="5"/>
  <c r="C470" i="5"/>
  <c r="B470" i="5"/>
  <c r="A470" i="5"/>
  <c r="F469" i="5"/>
  <c r="E469" i="5"/>
  <c r="D469" i="5"/>
  <c r="C469" i="5"/>
  <c r="B469" i="5"/>
  <c r="A469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F464" i="5"/>
  <c r="E464" i="5"/>
  <c r="D464" i="5"/>
  <c r="C464" i="5"/>
  <c r="B464" i="5"/>
  <c r="A464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F453" i="5"/>
  <c r="E453" i="5"/>
  <c r="D453" i="5"/>
  <c r="C453" i="5"/>
  <c r="B453" i="5"/>
  <c r="A453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F443" i="5"/>
  <c r="E443" i="5"/>
  <c r="D443" i="5"/>
  <c r="C443" i="5"/>
  <c r="B443" i="5"/>
  <c r="A443" i="5"/>
  <c r="F442" i="5"/>
  <c r="E442" i="5"/>
  <c r="D442" i="5"/>
  <c r="C442" i="5"/>
  <c r="B442" i="5"/>
  <c r="A442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F431" i="5"/>
  <c r="E431" i="5"/>
  <c r="D431" i="5"/>
  <c r="C431" i="5"/>
  <c r="B431" i="5"/>
  <c r="A431" i="5"/>
  <c r="F430" i="5"/>
  <c r="E430" i="5"/>
  <c r="D430" i="5"/>
  <c r="C430" i="5"/>
  <c r="B430" i="5"/>
  <c r="A430" i="5"/>
  <c r="F429" i="5"/>
  <c r="E429" i="5"/>
  <c r="D429" i="5"/>
  <c r="C429" i="5"/>
  <c r="B429" i="5"/>
  <c r="A429" i="5"/>
  <c r="F428" i="5"/>
  <c r="E428" i="5"/>
  <c r="D428" i="5"/>
  <c r="C428" i="5"/>
  <c r="B428" i="5"/>
  <c r="A428" i="5"/>
  <c r="F427" i="5"/>
  <c r="E427" i="5"/>
  <c r="D427" i="5"/>
  <c r="C427" i="5"/>
  <c r="B427" i="5"/>
  <c r="A427" i="5"/>
  <c r="F426" i="5"/>
  <c r="E426" i="5"/>
  <c r="D426" i="5"/>
  <c r="C426" i="5"/>
  <c r="B426" i="5"/>
  <c r="A426" i="5"/>
  <c r="F425" i="5"/>
  <c r="E425" i="5"/>
  <c r="D425" i="5"/>
  <c r="C425" i="5"/>
  <c r="B425" i="5"/>
  <c r="A425" i="5"/>
  <c r="F424" i="5"/>
  <c r="E424" i="5"/>
  <c r="D424" i="5"/>
  <c r="C424" i="5"/>
  <c r="B424" i="5"/>
  <c r="A424" i="5"/>
  <c r="F423" i="5"/>
  <c r="E423" i="5"/>
  <c r="D423" i="5"/>
  <c r="C423" i="5"/>
  <c r="B423" i="5"/>
  <c r="A423" i="5"/>
  <c r="F422" i="5"/>
  <c r="E422" i="5"/>
  <c r="D422" i="5"/>
  <c r="C422" i="5"/>
  <c r="B422" i="5"/>
  <c r="A422" i="5"/>
  <c r="F421" i="5"/>
  <c r="E421" i="5"/>
  <c r="D421" i="5"/>
  <c r="C421" i="5"/>
  <c r="B421" i="5"/>
  <c r="A421" i="5"/>
  <c r="F420" i="5"/>
  <c r="E420" i="5"/>
  <c r="D420" i="5"/>
  <c r="C420" i="5"/>
  <c r="B420" i="5"/>
  <c r="A420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10" i="5"/>
  <c r="E410" i="5"/>
  <c r="D410" i="5"/>
  <c r="C410" i="5"/>
  <c r="B410" i="5"/>
  <c r="A410" i="5"/>
  <c r="F409" i="5"/>
  <c r="E409" i="5"/>
  <c r="D409" i="5"/>
  <c r="C409" i="5"/>
  <c r="B409" i="5"/>
  <c r="A409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F406" i="5"/>
  <c r="E406" i="5"/>
  <c r="D406" i="5"/>
  <c r="C406" i="5"/>
  <c r="B406" i="5"/>
  <c r="A406" i="5"/>
  <c r="F405" i="5"/>
  <c r="E405" i="5"/>
  <c r="D405" i="5"/>
  <c r="C405" i="5"/>
  <c r="B405" i="5"/>
  <c r="A405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F394" i="5"/>
  <c r="E394" i="5"/>
  <c r="D394" i="5"/>
  <c r="C394" i="5"/>
  <c r="B394" i="5"/>
  <c r="A394" i="5"/>
  <c r="F393" i="5"/>
  <c r="E393" i="5"/>
  <c r="D393" i="5"/>
  <c r="C393" i="5"/>
  <c r="B393" i="5"/>
  <c r="A393" i="5"/>
  <c r="F392" i="5"/>
  <c r="E392" i="5"/>
  <c r="D392" i="5"/>
  <c r="C392" i="5"/>
  <c r="B392" i="5"/>
  <c r="A392" i="5"/>
  <c r="F391" i="5"/>
  <c r="E391" i="5"/>
  <c r="D391" i="5"/>
  <c r="C391" i="5"/>
  <c r="B391" i="5"/>
  <c r="A391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4" i="5"/>
  <c r="E384" i="5"/>
  <c r="D384" i="5"/>
  <c r="C384" i="5"/>
  <c r="B384" i="5"/>
  <c r="A384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F381" i="5"/>
  <c r="E381" i="5"/>
  <c r="D381" i="5"/>
  <c r="C381" i="5"/>
  <c r="B381" i="5"/>
  <c r="A381" i="5"/>
  <c r="F380" i="5"/>
  <c r="E380" i="5"/>
  <c r="D380" i="5"/>
  <c r="C380" i="5"/>
  <c r="B380" i="5"/>
  <c r="A380" i="5"/>
  <c r="F379" i="5"/>
  <c r="E379" i="5"/>
  <c r="D379" i="5"/>
  <c r="C379" i="5"/>
  <c r="B379" i="5"/>
  <c r="A379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70" i="5"/>
  <c r="E370" i="5"/>
  <c r="D370" i="5"/>
  <c r="C370" i="5"/>
  <c r="B370" i="5"/>
  <c r="A370" i="5"/>
  <c r="F369" i="5"/>
  <c r="E369" i="5"/>
  <c r="D369" i="5"/>
  <c r="C369" i="5"/>
  <c r="B369" i="5"/>
  <c r="A369" i="5"/>
  <c r="F368" i="5"/>
  <c r="E368" i="5"/>
  <c r="D368" i="5"/>
  <c r="C368" i="5"/>
  <c r="B368" i="5"/>
  <c r="A368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F360" i="5"/>
  <c r="E360" i="5"/>
  <c r="D360" i="5"/>
  <c r="C360" i="5"/>
  <c r="B360" i="5"/>
  <c r="A360" i="5"/>
  <c r="F359" i="5"/>
  <c r="E359" i="5"/>
  <c r="D359" i="5"/>
  <c r="C359" i="5"/>
  <c r="B359" i="5"/>
  <c r="A359" i="5"/>
  <c r="F358" i="5"/>
  <c r="E358" i="5"/>
  <c r="D358" i="5"/>
  <c r="C358" i="5"/>
  <c r="B358" i="5"/>
  <c r="A358" i="5"/>
  <c r="F357" i="5"/>
  <c r="E357" i="5"/>
  <c r="D357" i="5"/>
  <c r="C357" i="5"/>
  <c r="B357" i="5"/>
  <c r="A357" i="5"/>
  <c r="F356" i="5"/>
  <c r="E356" i="5"/>
  <c r="D356" i="5"/>
  <c r="C356" i="5"/>
  <c r="B356" i="5"/>
  <c r="A356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F349" i="5"/>
  <c r="E349" i="5"/>
  <c r="D349" i="5"/>
  <c r="C349" i="5"/>
  <c r="B349" i="5"/>
  <c r="A349" i="5"/>
  <c r="F348" i="5"/>
  <c r="E348" i="5"/>
  <c r="D348" i="5"/>
  <c r="C348" i="5"/>
  <c r="B348" i="5"/>
  <c r="A348" i="5"/>
  <c r="F347" i="5"/>
  <c r="E347" i="5"/>
  <c r="D347" i="5"/>
  <c r="C347" i="5"/>
  <c r="B347" i="5"/>
  <c r="A347" i="5"/>
  <c r="F346" i="5"/>
  <c r="E346" i="5"/>
  <c r="D346" i="5"/>
  <c r="C346" i="5"/>
  <c r="B346" i="5"/>
  <c r="A346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F341" i="5"/>
  <c r="E341" i="5"/>
  <c r="D341" i="5"/>
  <c r="C341" i="5"/>
  <c r="B341" i="5"/>
  <c r="A341" i="5"/>
  <c r="F340" i="5"/>
  <c r="E340" i="5"/>
  <c r="D340" i="5"/>
  <c r="C340" i="5"/>
  <c r="B340" i="5"/>
  <c r="A340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7" i="5"/>
  <c r="E337" i="5"/>
  <c r="D337" i="5"/>
  <c r="C337" i="5"/>
  <c r="B337" i="5"/>
  <c r="A337" i="5"/>
  <c r="F336" i="5"/>
  <c r="E336" i="5"/>
  <c r="D336" i="5"/>
  <c r="C336" i="5"/>
  <c r="B336" i="5"/>
  <c r="A336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8" i="5"/>
  <c r="E318" i="5"/>
  <c r="D318" i="5"/>
  <c r="C318" i="5"/>
  <c r="B318" i="5"/>
  <c r="A318" i="5"/>
  <c r="F317" i="5"/>
  <c r="E317" i="5"/>
  <c r="D317" i="5"/>
  <c r="C317" i="5"/>
  <c r="B317" i="5"/>
  <c r="A317" i="5"/>
  <c r="F316" i="5"/>
  <c r="E316" i="5"/>
  <c r="D316" i="5"/>
  <c r="C316" i="5"/>
  <c r="B316" i="5"/>
  <c r="A316" i="5"/>
  <c r="F315" i="5"/>
  <c r="E315" i="5"/>
  <c r="D315" i="5"/>
  <c r="C315" i="5"/>
  <c r="B315" i="5"/>
  <c r="A315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F312" i="5"/>
  <c r="E312" i="5"/>
  <c r="D312" i="5"/>
  <c r="C312" i="5"/>
  <c r="B312" i="5"/>
  <c r="A312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5" i="5"/>
  <c r="E305" i="5"/>
  <c r="D305" i="5"/>
  <c r="C305" i="5"/>
  <c r="B305" i="5"/>
  <c r="A305" i="5"/>
  <c r="F304" i="5"/>
  <c r="E304" i="5"/>
  <c r="D304" i="5"/>
  <c r="C304" i="5"/>
  <c r="B304" i="5"/>
  <c r="A304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9" i="5"/>
  <c r="E299" i="5"/>
  <c r="D299" i="5"/>
  <c r="C299" i="5"/>
  <c r="B299" i="5"/>
  <c r="A299" i="5"/>
  <c r="F298" i="5"/>
  <c r="E298" i="5"/>
  <c r="D298" i="5"/>
  <c r="C298" i="5"/>
  <c r="B298" i="5"/>
  <c r="A298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F291" i="5"/>
  <c r="E291" i="5"/>
  <c r="D291" i="5"/>
  <c r="C291" i="5"/>
  <c r="B291" i="5"/>
  <c r="A291" i="5"/>
  <c r="F290" i="5"/>
  <c r="E290" i="5"/>
  <c r="D290" i="5"/>
  <c r="C290" i="5"/>
  <c r="B290" i="5"/>
  <c r="A290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F283" i="5"/>
  <c r="E283" i="5"/>
  <c r="D283" i="5"/>
  <c r="C283" i="5"/>
  <c r="B283" i="5"/>
  <c r="A283" i="5"/>
  <c r="F282" i="5"/>
  <c r="E282" i="5"/>
  <c r="D282" i="5"/>
  <c r="C282" i="5"/>
  <c r="B282" i="5"/>
  <c r="A282" i="5"/>
  <c r="F281" i="5"/>
  <c r="E281" i="5"/>
  <c r="D281" i="5"/>
  <c r="C281" i="5"/>
  <c r="B281" i="5"/>
  <c r="A281" i="5"/>
  <c r="F280" i="5"/>
  <c r="E280" i="5"/>
  <c r="D280" i="5"/>
  <c r="C280" i="5"/>
  <c r="B280" i="5"/>
  <c r="A280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7" i="5"/>
  <c r="E277" i="5"/>
  <c r="D277" i="5"/>
  <c r="C277" i="5"/>
  <c r="B277" i="5"/>
  <c r="A277" i="5"/>
  <c r="F276" i="5"/>
  <c r="E276" i="5"/>
  <c r="D276" i="5"/>
  <c r="C276" i="5"/>
  <c r="B276" i="5"/>
  <c r="A276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1" i="5"/>
  <c r="E271" i="5"/>
  <c r="D271" i="5"/>
  <c r="C271" i="5"/>
  <c r="B271" i="5"/>
  <c r="A271" i="5"/>
  <c r="F270" i="5"/>
  <c r="E270" i="5"/>
  <c r="D270" i="5"/>
  <c r="C270" i="5"/>
  <c r="B270" i="5"/>
  <c r="A270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1" i="5"/>
  <c r="E261" i="5"/>
  <c r="D261" i="5"/>
  <c r="C261" i="5"/>
  <c r="B261" i="5"/>
  <c r="A261" i="5"/>
  <c r="F260" i="5"/>
  <c r="E260" i="5"/>
  <c r="D260" i="5"/>
  <c r="C260" i="5"/>
  <c r="B260" i="5"/>
  <c r="A260" i="5"/>
  <c r="F259" i="5"/>
  <c r="E259" i="5"/>
  <c r="D259" i="5"/>
  <c r="C259" i="5"/>
  <c r="B259" i="5"/>
  <c r="A259" i="5"/>
  <c r="F258" i="5"/>
  <c r="E258" i="5"/>
  <c r="D258" i="5"/>
  <c r="C258" i="5"/>
  <c r="B258" i="5"/>
  <c r="A258" i="5"/>
  <c r="F257" i="5"/>
  <c r="E257" i="5"/>
  <c r="D257" i="5"/>
  <c r="C257" i="5"/>
  <c r="B257" i="5"/>
  <c r="A257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1" i="5"/>
  <c r="E251" i="5"/>
  <c r="D251" i="5"/>
  <c r="C251" i="5"/>
  <c r="B251" i="5"/>
  <c r="A251" i="5"/>
  <c r="F250" i="5"/>
  <c r="E250" i="5"/>
  <c r="D250" i="5"/>
  <c r="C250" i="5"/>
  <c r="B250" i="5"/>
  <c r="A250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3" i="5"/>
  <c r="E243" i="5"/>
  <c r="D243" i="5"/>
  <c r="C243" i="5"/>
  <c r="B243" i="5"/>
  <c r="A243" i="5"/>
  <c r="F242" i="5"/>
  <c r="E242" i="5"/>
  <c r="D242" i="5"/>
  <c r="C242" i="5"/>
  <c r="B242" i="5"/>
  <c r="A242" i="5"/>
  <c r="F241" i="5"/>
  <c r="E241" i="5"/>
  <c r="D241" i="5"/>
  <c r="C241" i="5"/>
  <c r="B241" i="5"/>
  <c r="A241" i="5"/>
  <c r="F240" i="5"/>
  <c r="E240" i="5"/>
  <c r="D240" i="5"/>
  <c r="C240" i="5"/>
  <c r="B240" i="5"/>
  <c r="A240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F231" i="5"/>
  <c r="E231" i="5"/>
  <c r="D231" i="5"/>
  <c r="C231" i="5"/>
  <c r="B231" i="5"/>
  <c r="A231" i="5"/>
  <c r="F230" i="5"/>
  <c r="E230" i="5"/>
  <c r="D230" i="5"/>
  <c r="C230" i="5"/>
  <c r="B230" i="5"/>
  <c r="A230" i="5"/>
  <c r="F229" i="5"/>
  <c r="E229" i="5"/>
  <c r="D229" i="5"/>
  <c r="C229" i="5"/>
  <c r="B229" i="5"/>
  <c r="A229" i="5"/>
  <c r="F228" i="5"/>
  <c r="E228" i="5"/>
  <c r="D228" i="5"/>
  <c r="C228" i="5"/>
  <c r="B228" i="5"/>
  <c r="A228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F223" i="5"/>
  <c r="E223" i="5"/>
  <c r="D223" i="5"/>
  <c r="C223" i="5"/>
  <c r="B223" i="5"/>
  <c r="A223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F207" i="5"/>
  <c r="E207" i="5"/>
  <c r="D207" i="5"/>
  <c r="C207" i="5"/>
  <c r="B207" i="5"/>
  <c r="A207" i="5"/>
  <c r="F206" i="5"/>
  <c r="E206" i="5"/>
  <c r="D206" i="5"/>
  <c r="C206" i="5"/>
  <c r="B206" i="5"/>
  <c r="A206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F199" i="5"/>
  <c r="E199" i="5"/>
  <c r="D199" i="5"/>
  <c r="C199" i="5"/>
  <c r="B199" i="5"/>
  <c r="A199" i="5"/>
  <c r="F198" i="5"/>
  <c r="E198" i="5"/>
  <c r="D198" i="5"/>
  <c r="C198" i="5"/>
  <c r="B198" i="5"/>
  <c r="A198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7" i="5"/>
  <c r="E187" i="5"/>
  <c r="D187" i="5"/>
  <c r="C187" i="5"/>
  <c r="B187" i="5"/>
  <c r="A187" i="5"/>
  <c r="F186" i="5"/>
  <c r="E186" i="5"/>
  <c r="D186" i="5"/>
  <c r="C186" i="5"/>
  <c r="B186" i="5"/>
  <c r="A186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F176" i="5"/>
  <c r="E176" i="5"/>
  <c r="D176" i="5"/>
  <c r="C176" i="5"/>
  <c r="B176" i="5"/>
  <c r="A176" i="5"/>
  <c r="F175" i="5"/>
  <c r="E175" i="5"/>
  <c r="D175" i="5"/>
  <c r="C175" i="5"/>
  <c r="B175" i="5"/>
  <c r="A175" i="5"/>
  <c r="F174" i="5"/>
  <c r="E174" i="5"/>
  <c r="D174" i="5"/>
  <c r="C174" i="5"/>
  <c r="B174" i="5"/>
  <c r="A174" i="5"/>
  <c r="F173" i="5"/>
  <c r="E173" i="5"/>
  <c r="D173" i="5"/>
  <c r="C173" i="5"/>
  <c r="B173" i="5"/>
  <c r="A173" i="5"/>
  <c r="F172" i="5"/>
  <c r="E172" i="5"/>
  <c r="D172" i="5"/>
  <c r="C172" i="5"/>
  <c r="B172" i="5"/>
  <c r="A172" i="5"/>
  <c r="F171" i="5"/>
  <c r="E171" i="5"/>
  <c r="D171" i="5"/>
  <c r="C171" i="5"/>
  <c r="B171" i="5"/>
  <c r="A171" i="5"/>
  <c r="F170" i="5"/>
  <c r="E170" i="5"/>
  <c r="D170" i="5"/>
  <c r="C170" i="5"/>
  <c r="B170" i="5"/>
  <c r="A170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F119" i="5"/>
  <c r="E119" i="5"/>
  <c r="D119" i="5"/>
  <c r="C119" i="5"/>
  <c r="B119" i="5"/>
  <c r="A119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F110" i="5"/>
  <c r="E110" i="5"/>
  <c r="D110" i="5"/>
  <c r="C110" i="5"/>
  <c r="B110" i="5"/>
  <c r="A110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F97" i="5"/>
  <c r="E97" i="5"/>
  <c r="D97" i="5"/>
  <c r="C97" i="5"/>
  <c r="B97" i="5"/>
  <c r="A97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F71" i="5"/>
  <c r="E71" i="5"/>
  <c r="D71" i="5"/>
  <c r="C71" i="5"/>
  <c r="B71" i="5"/>
  <c r="A71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F64" i="5"/>
  <c r="E64" i="5"/>
  <c r="D64" i="5"/>
  <c r="C64" i="5"/>
  <c r="B64" i="5"/>
  <c r="A64" i="5"/>
  <c r="F63" i="5"/>
  <c r="E63" i="5"/>
  <c r="D63" i="5"/>
  <c r="C63" i="5"/>
  <c r="B63" i="5"/>
  <c r="A63" i="5"/>
  <c r="F62" i="5"/>
  <c r="E62" i="5"/>
  <c r="D62" i="5"/>
  <c r="C62" i="5"/>
  <c r="B62" i="5"/>
  <c r="A62" i="5"/>
  <c r="F61" i="5"/>
  <c r="E61" i="5"/>
  <c r="D61" i="5"/>
  <c r="C61" i="5"/>
  <c r="B61" i="5"/>
  <c r="A61" i="5"/>
  <c r="F60" i="5"/>
  <c r="E60" i="5"/>
  <c r="D60" i="5"/>
  <c r="C60" i="5"/>
  <c r="B60" i="5"/>
  <c r="A60" i="5"/>
  <c r="F59" i="5"/>
  <c r="E59" i="5"/>
  <c r="D59" i="5"/>
  <c r="C59" i="5"/>
  <c r="B59" i="5"/>
  <c r="A59" i="5"/>
  <c r="F58" i="5"/>
  <c r="E58" i="5"/>
  <c r="D58" i="5"/>
  <c r="C58" i="5"/>
  <c r="B58" i="5"/>
  <c r="A58" i="5"/>
  <c r="F57" i="5"/>
  <c r="E57" i="5"/>
  <c r="D57" i="5"/>
  <c r="C57" i="5"/>
  <c r="B57" i="5"/>
  <c r="A57" i="5"/>
  <c r="F56" i="5"/>
  <c r="E56" i="5"/>
  <c r="D56" i="5"/>
  <c r="C56" i="5"/>
  <c r="B56" i="5"/>
  <c r="A56" i="5"/>
  <c r="F55" i="5"/>
  <c r="E55" i="5"/>
  <c r="D55" i="5"/>
  <c r="C55" i="5"/>
  <c r="B55" i="5"/>
  <c r="A55" i="5"/>
  <c r="F54" i="5"/>
  <c r="E54" i="5"/>
  <c r="D54" i="5"/>
  <c r="C54" i="5"/>
  <c r="B54" i="5"/>
  <c r="A54" i="5"/>
  <c r="F53" i="5"/>
  <c r="E53" i="5"/>
  <c r="D53" i="5"/>
  <c r="C53" i="5"/>
  <c r="B53" i="5"/>
  <c r="A53" i="5"/>
  <c r="F52" i="5"/>
  <c r="E52" i="5"/>
  <c r="D52" i="5"/>
  <c r="C52" i="5"/>
  <c r="B52" i="5"/>
  <c r="A52" i="5"/>
  <c r="F51" i="5"/>
  <c r="E51" i="5"/>
  <c r="D51" i="5"/>
  <c r="C51" i="5"/>
  <c r="B51" i="5"/>
  <c r="A51" i="5"/>
  <c r="F50" i="5"/>
  <c r="E50" i="5"/>
  <c r="D50" i="5"/>
  <c r="C50" i="5"/>
  <c r="B50" i="5"/>
  <c r="A50" i="5"/>
  <c r="F49" i="5"/>
  <c r="E49" i="5"/>
  <c r="D49" i="5"/>
  <c r="C49" i="5"/>
  <c r="B49" i="5"/>
  <c r="A49" i="5"/>
  <c r="F48" i="5"/>
  <c r="E48" i="5"/>
  <c r="D48" i="5"/>
  <c r="C48" i="5"/>
  <c r="B48" i="5"/>
  <c r="A48" i="5"/>
  <c r="F47" i="5"/>
  <c r="E47" i="5"/>
  <c r="D47" i="5"/>
  <c r="C47" i="5"/>
  <c r="B47" i="5"/>
  <c r="A47" i="5"/>
  <c r="F46" i="5"/>
  <c r="E46" i="5"/>
  <c r="D46" i="5"/>
  <c r="C46" i="5"/>
  <c r="B46" i="5"/>
  <c r="A46" i="5"/>
  <c r="F45" i="5"/>
  <c r="E45" i="5"/>
  <c r="D45" i="5"/>
  <c r="C45" i="5"/>
  <c r="B45" i="5"/>
  <c r="A45" i="5"/>
  <c r="F44" i="5"/>
  <c r="E44" i="5"/>
  <c r="D44" i="5"/>
  <c r="C44" i="5"/>
  <c r="B44" i="5"/>
  <c r="A44" i="5"/>
  <c r="F43" i="5"/>
  <c r="E43" i="5"/>
  <c r="D43" i="5"/>
  <c r="C43" i="5"/>
  <c r="B43" i="5"/>
  <c r="A43" i="5"/>
  <c r="F42" i="5"/>
  <c r="E42" i="5"/>
  <c r="D42" i="5"/>
  <c r="C42" i="5"/>
  <c r="B42" i="5"/>
  <c r="A42" i="5"/>
  <c r="F41" i="5"/>
  <c r="E41" i="5"/>
  <c r="D41" i="5"/>
  <c r="C41" i="5"/>
  <c r="B41" i="5"/>
  <c r="A41" i="5"/>
  <c r="F40" i="5"/>
  <c r="E40" i="5"/>
  <c r="D40" i="5"/>
  <c r="C40" i="5"/>
  <c r="B40" i="5"/>
  <c r="A40" i="5"/>
  <c r="F39" i="5"/>
  <c r="E39" i="5"/>
  <c r="D39" i="5"/>
  <c r="C39" i="5"/>
  <c r="B39" i="5"/>
  <c r="A39" i="5"/>
  <c r="F38" i="5"/>
  <c r="E38" i="5"/>
  <c r="D38" i="5"/>
  <c r="C38" i="5"/>
  <c r="B38" i="5"/>
  <c r="A38" i="5"/>
  <c r="F37" i="5"/>
  <c r="E37" i="5"/>
  <c r="D37" i="5"/>
  <c r="C37" i="5"/>
  <c r="B37" i="5"/>
  <c r="A37" i="5"/>
  <c r="F36" i="5"/>
  <c r="E36" i="5"/>
  <c r="D36" i="5"/>
  <c r="C36" i="5"/>
  <c r="B36" i="5"/>
  <c r="A36" i="5"/>
  <c r="F35" i="5"/>
  <c r="E35" i="5"/>
  <c r="D35" i="5"/>
  <c r="C35" i="5"/>
  <c r="B35" i="5"/>
  <c r="A35" i="5"/>
  <c r="F34" i="5"/>
  <c r="E34" i="5"/>
  <c r="D34" i="5"/>
  <c r="C34" i="5"/>
  <c r="B34" i="5"/>
  <c r="A34" i="5"/>
  <c r="F33" i="5"/>
  <c r="E33" i="5"/>
  <c r="D33" i="5"/>
  <c r="C33" i="5"/>
  <c r="B33" i="5"/>
  <c r="A33" i="5"/>
  <c r="F32" i="5"/>
  <c r="E32" i="5"/>
  <c r="D32" i="5"/>
  <c r="C32" i="5"/>
  <c r="B32" i="5"/>
  <c r="A32" i="5"/>
  <c r="F31" i="5"/>
  <c r="E31" i="5"/>
  <c r="D31" i="5"/>
  <c r="C31" i="5"/>
  <c r="B31" i="5"/>
  <c r="A31" i="5"/>
  <c r="F30" i="5"/>
  <c r="E30" i="5"/>
  <c r="D30" i="5"/>
  <c r="C30" i="5"/>
  <c r="B30" i="5"/>
  <c r="A30" i="5"/>
  <c r="F29" i="5"/>
  <c r="E29" i="5"/>
  <c r="D29" i="5"/>
  <c r="C29" i="5"/>
  <c r="B29" i="5"/>
  <c r="A29" i="5"/>
  <c r="F28" i="5"/>
  <c r="E28" i="5"/>
  <c r="D28" i="5"/>
  <c r="C28" i="5"/>
  <c r="B28" i="5"/>
  <c r="A28" i="5"/>
  <c r="F27" i="5"/>
  <c r="E27" i="5"/>
  <c r="D27" i="5"/>
  <c r="C27" i="5"/>
  <c r="B27" i="5"/>
  <c r="A27" i="5"/>
  <c r="F26" i="5"/>
  <c r="E26" i="5"/>
  <c r="D26" i="5"/>
  <c r="C26" i="5"/>
  <c r="B26" i="5"/>
  <c r="A26" i="5"/>
  <c r="F25" i="5"/>
  <c r="E25" i="5"/>
  <c r="D25" i="5"/>
  <c r="C25" i="5"/>
  <c r="B25" i="5"/>
  <c r="A25" i="5"/>
  <c r="F24" i="5"/>
  <c r="E24" i="5"/>
  <c r="D24" i="5"/>
  <c r="C24" i="5"/>
  <c r="B24" i="5"/>
  <c r="A24" i="5"/>
  <c r="F23" i="5"/>
  <c r="E23" i="5"/>
  <c r="D23" i="5"/>
  <c r="C23" i="5"/>
  <c r="B23" i="5"/>
  <c r="A23" i="5"/>
  <c r="F22" i="5"/>
  <c r="E22" i="5"/>
  <c r="D22" i="5"/>
  <c r="C22" i="5"/>
  <c r="B22" i="5"/>
  <c r="A22" i="5"/>
  <c r="F21" i="5"/>
  <c r="E21" i="5"/>
  <c r="D21" i="5"/>
  <c r="C21" i="5"/>
  <c r="B21" i="5"/>
  <c r="A21" i="5"/>
  <c r="F20" i="5"/>
  <c r="E20" i="5"/>
  <c r="D20" i="5"/>
  <c r="C20" i="5"/>
  <c r="B20" i="5"/>
  <c r="A20" i="5"/>
  <c r="F19" i="5"/>
  <c r="E19" i="5"/>
  <c r="D19" i="5"/>
  <c r="C19" i="5"/>
  <c r="B19" i="5"/>
  <c r="A19" i="5"/>
  <c r="F18" i="5"/>
  <c r="E18" i="5"/>
  <c r="D18" i="5"/>
  <c r="C18" i="5"/>
  <c r="B18" i="5"/>
  <c r="A18" i="5"/>
  <c r="F17" i="5"/>
  <c r="E17" i="5"/>
  <c r="D17" i="5"/>
  <c r="C17" i="5"/>
  <c r="B17" i="5"/>
  <c r="A17" i="5"/>
  <c r="F16" i="5"/>
  <c r="E16" i="5"/>
  <c r="D16" i="5"/>
  <c r="C16" i="5"/>
  <c r="B16" i="5"/>
  <c r="A16" i="5"/>
  <c r="F15" i="5"/>
  <c r="E15" i="5"/>
  <c r="D15" i="5"/>
  <c r="C15" i="5"/>
  <c r="B15" i="5"/>
  <c r="A15" i="5"/>
  <c r="F14" i="5"/>
  <c r="E14" i="5"/>
  <c r="D14" i="5"/>
  <c r="C14" i="5"/>
  <c r="B14" i="5"/>
  <c r="A14" i="5"/>
  <c r="F13" i="5"/>
  <c r="E13" i="5"/>
  <c r="D13" i="5"/>
  <c r="C13" i="5"/>
  <c r="B13" i="5"/>
  <c r="A13" i="5"/>
  <c r="F12" i="5"/>
  <c r="E12" i="5"/>
  <c r="D12" i="5"/>
  <c r="C12" i="5"/>
  <c r="B12" i="5"/>
  <c r="A12" i="5"/>
  <c r="F11" i="5"/>
  <c r="E11" i="5"/>
  <c r="D11" i="5"/>
  <c r="C11" i="5"/>
  <c r="B11" i="5"/>
  <c r="A11" i="5"/>
  <c r="F10" i="5"/>
  <c r="E10" i="5"/>
  <c r="D10" i="5"/>
  <c r="C10" i="5"/>
  <c r="B10" i="5"/>
  <c r="A10" i="5"/>
  <c r="F9" i="5"/>
  <c r="E9" i="5"/>
  <c r="D9" i="5"/>
  <c r="C9" i="5"/>
  <c r="B9" i="5"/>
  <c r="A9" i="5"/>
  <c r="F8" i="5"/>
  <c r="E8" i="5"/>
  <c r="D8" i="5"/>
  <c r="C8" i="5"/>
  <c r="B8" i="5"/>
  <c r="A8" i="5"/>
  <c r="F7" i="5"/>
  <c r="E7" i="5"/>
  <c r="D7" i="5"/>
  <c r="C7" i="5"/>
  <c r="B7" i="5"/>
  <c r="A7" i="5"/>
  <c r="F6" i="5"/>
  <c r="E6" i="5"/>
  <c r="D6" i="5"/>
  <c r="C6" i="5"/>
  <c r="B6" i="5"/>
  <c r="A6" i="5"/>
  <c r="F5" i="5"/>
  <c r="E5" i="5"/>
  <c r="D5" i="5"/>
  <c r="C5" i="5"/>
  <c r="B5" i="5"/>
  <c r="A5" i="5"/>
  <c r="F4" i="5"/>
  <c r="E4" i="5"/>
  <c r="D4" i="5"/>
  <c r="C4" i="5"/>
  <c r="B4" i="5"/>
  <c r="A4" i="5"/>
  <c r="F3" i="5"/>
  <c r="E3" i="5"/>
  <c r="D3" i="5"/>
  <c r="C3" i="5"/>
  <c r="B3" i="5"/>
  <c r="A3" i="5"/>
  <c r="F2" i="5"/>
  <c r="E2" i="5"/>
  <c r="D2" i="5"/>
  <c r="C2" i="5"/>
  <c r="B2" i="5"/>
  <c r="A2" i="5"/>
</calcChain>
</file>

<file path=xl/sharedStrings.xml><?xml version="1.0" encoding="utf-8"?>
<sst xmlns="http://schemas.openxmlformats.org/spreadsheetml/2006/main" count="18" uniqueCount="6">
  <si>
    <t>Конфигурация 1С</t>
  </si>
  <si>
    <t>Уровень лицензии</t>
  </si>
  <si>
    <t>Артикул</t>
  </si>
  <si>
    <t>Цена розничная,
без НДС</t>
  </si>
  <si>
    <t>Полное наименование лицензии Магазин 15</t>
  </si>
  <si>
    <t>Короткое наименование
лицензии Магазин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</si>
</sst>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 ₽]"/>
  </numFmts>
  <fonts count="3" x14ac:knownFonts="1">
    <font>
      <sz val="10"/>
      <color rgb="FF000000"/>
      <name val="Arial"/>
    </font>
    <font>
      <b/>
      <sz val="9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00"/>
    <outlinePr summaryBelow="0" summaryRight="0"/>
  </sheetPr>
  <dimension ref="A1:F1092"/>
  <sheetViews>
    <sheetView workbookViewId="0">
      <pane ySplit="1" topLeftCell="A26" activePane="bottomLeft" state="frozen"/>
      <selection pane="bottomLeft" activeCell="H2" sqref="H2"/>
    </sheetView>
  </sheetViews>
  <sheetFormatPr defaultColWidth="14.42578125" defaultRowHeight="86.25" customHeight="1" x14ac:dyDescent="0.2"/>
  <cols>
    <col min="1" max="1" width="31.5703125" customWidth="1"/>
    <col min="2" max="2" width="18.85546875" customWidth="1"/>
    <col min="3" max="3" width="18.5703125" customWidth="1"/>
    <col min="4" max="4" width="84" customWidth="1"/>
    <col min="5" max="5" width="26.28515625" customWidth="1"/>
  </cols>
  <sheetData>
    <row r="1" spans="1:6" ht="49.5" customHeight="1" x14ac:dyDescent="0.2">
      <c r="A1" s="2" t="s">
        <v>0</v>
      </c>
      <c r="B1" s="1" t="s">
        <v>1</v>
      </c>
      <c r="C1" s="2" t="s">
        <v>2</v>
      </c>
      <c r="D1" s="1" t="s">
        <v>4</v>
      </c>
      <c r="E1" s="1" t="s">
        <v>5</v>
      </c>
      <c r="F1" s="1" t="s">
        <v>3</v>
      </c>
    </row>
    <row r="2" spans="1:6" ht="86.25" customHeight="1" x14ac:dyDescent="0.2">
      <c r="A2" s="4" t="str">
        <f ca="1">IFERROR(__xludf.DUMMYFUNCTION("IMPORTRANGE(""https://docs.google.com/spreadsheets/d/1Max1SxwOvgBmOt3P7qh4ejq2WiUPU44TkMX293q2g4U/"",""Прайс-лист!A3:K761"")"),"«1С: Розница 2.2»")</f>
        <v>«1С: Розница 2.2»</v>
      </c>
      <c r="B2" s="4" t="str">
        <f ca="1">IFERROR(__xludf.DUMMYFUNCTION("""COMPUTED_VALUE"""),"МИНИМУМ")</f>
        <v>МИНИМУМ</v>
      </c>
      <c r="C2" s="4" t="str">
        <f ca="1">IFERROR(__xludf.DUMMYFUNCTION("""COMPUTED_VALUE"""),"RTL15M-1CRZ22")</f>
        <v>RTL15M-1CRZ22</v>
      </c>
      <c r="D2" s="4" t="str">
        <f ca="1">IFERROR(__xludf.DUMMYFUNCTION("""COMPUTED_VALUE"""),"Mobile SMARTS: Магазин 15, МИНИМУМ для «1С: Розница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пров"&amp;"ерка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«1С: Розница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" s="4" t="str">
        <f ca="1">IFERROR(__xludf.DUMMYFUNCTION("""COMPUTED_VALUE"""),"Mobile SMARTS: Магазин 15, МИНИМУМ для «1С: Розница 2.2», для работы с товаром по штрихкодам ")</f>
        <v xml:space="preserve">Mobile SMARTS: Магазин 15, МИНИМУМ для «1С: Розница 2.2», для работы с товаром по штрихкодам </v>
      </c>
      <c r="F2" s="5">
        <f ca="1">IFERROR(__xludf.DUMMYFUNCTION("""COMPUTED_VALUE"""),3450)</f>
        <v>3450</v>
      </c>
    </row>
    <row r="3" spans="1:6" ht="86.25" customHeight="1" x14ac:dyDescent="0.2">
      <c r="A3" s="4" t="str">
        <f ca="1">IFERROR(__xludf.DUMMYFUNCTION("""COMPUTED_VALUE"""),"«1С: Розница 2.2»")</f>
        <v>«1С: Розница 2.2»</v>
      </c>
      <c r="B3" s="4" t="str">
        <f ca="1">IFERROR(__xludf.DUMMYFUNCTION("""COMPUTED_VALUE"""),"БАЗОВЫЙ")</f>
        <v>БАЗОВЫЙ</v>
      </c>
      <c r="C3" s="4" t="str">
        <f ca="1">IFERROR(__xludf.DUMMYFUNCTION("""COMPUTED_VALUE"""),"RTL15A-1CRZ22")</f>
        <v>RTL15A-1CRZ22</v>
      </c>
      <c r="D3" s="4" t="str">
        <f ca="1">IFERROR(__xludf.DUMMYFUNCTION("""COMPUTED_VALUE"""),"Mobile SMARTS: Магазин 15, БАЗОВЫЙ для «1С: Розница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мобил"&amp;"ьный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во"&amp;"зможность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Розница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" s="4" t="str">
        <f ca="1">IFERROR(__xludf.DUMMYFUNCTION("""COMPUTED_VALUE"""),"Mobile SMARTS: Магазин 15, БАЗОВЫЙ для «1С: Розница 2.2», для работы с товаром по штрихкодам ")</f>
        <v xml:space="preserve">Mobile SMARTS: Магазин 15, БАЗОВЫЙ для «1С: Розница 2.2», для работы с товаром по штрихкодам </v>
      </c>
      <c r="F3" s="5">
        <f ca="1">IFERROR(__xludf.DUMMYFUNCTION("""COMPUTED_VALUE"""),8650)</f>
        <v>8650</v>
      </c>
    </row>
    <row r="4" spans="1:6" ht="86.25" customHeight="1" x14ac:dyDescent="0.2">
      <c r="A4" s="4" t="str">
        <f ca="1">IFERROR(__xludf.DUMMYFUNCTION("""COMPUTED_VALUE"""),"«1С: Розница 2.2»")</f>
        <v>«1С: Розница 2.2»</v>
      </c>
      <c r="B4" s="4" t="str">
        <f ca="1">IFERROR(__xludf.DUMMYFUNCTION("""COMPUTED_VALUE"""),"РАСШИРЕННЫЙ")</f>
        <v>РАСШИРЕННЫЙ</v>
      </c>
      <c r="C4" s="4" t="str">
        <f ca="1">IFERROR(__xludf.DUMMYFUNCTION("""COMPUTED_VALUE"""),"RTL15B-1CRZ22")</f>
        <v>RTL15B-1CRZ22</v>
      </c>
      <c r="D4" s="4" t="str">
        <f ca="1">IFERROR(__xludf.DUMMYFUNCTION("""COMPUTED_VALUE"""),"Mobile SMARTS: Магазин 15, РАСШИРЕННЫЙ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м"&amp;"обильный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"&amp;"/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" s="4" t="str">
        <f ca="1">IFERROR(__xludf.DUMMYFUNCTION("""COMPUTED_VALUE"""),"Mobile SMARTS: Магазин 15, РАСШИРЕННЫЙ для «1С: Розница 2.2», для работы с товаром по штрихкодам ")</f>
        <v xml:space="preserve">Mobile SMARTS: Магазин 15, РАСШИРЕННЫЙ для «1С: Розница 2.2», для работы с товаром по штрихкодам </v>
      </c>
      <c r="F4" s="5">
        <f ca="1">IFERROR(__xludf.DUMMYFUNCTION("""COMPUTED_VALUE"""),15050)</f>
        <v>15050</v>
      </c>
    </row>
    <row r="5" spans="1:6" ht="86.25" customHeight="1" x14ac:dyDescent="0.2">
      <c r="A5" s="4" t="str">
        <f ca="1">IFERROR(__xludf.DUMMYFUNCTION("""COMPUTED_VALUE"""),"«1С: Розница 2.2»")</f>
        <v>«1С: Розница 2.2»</v>
      </c>
      <c r="B5" s="4" t="str">
        <f ca="1">IFERROR(__xludf.DUMMYFUNCTION("""COMPUTED_VALUE"""),"МЕГАМАРКЕТ")</f>
        <v>МЕГАМАРКЕТ</v>
      </c>
      <c r="C5" s="4" t="str">
        <f ca="1">IFERROR(__xludf.DUMMYFUNCTION("""COMPUTED_VALUE"""),"RTL15C-1CRZ22")</f>
        <v>RTL15C-1CRZ22</v>
      </c>
      <c r="D5" s="4" t="str">
        <f ca="1">IFERROR(__xludf.DUMMYFUNCTION("""COMPUTED_VALUE"""),"Mobile SMARTS: Магазин 15, МЕГАМАРКЕТ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мо"&amp;"бильный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су"&amp;"ществующих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" s="4" t="str">
        <f ca="1">IFERROR(__xludf.DUMMYFUNCTION("""COMPUTED_VALUE"""),"Mobile SMARTS: Магазин 15, МЕГАМАРКЕТ для «1С: Розница 2.2», для работы с товаром по штрихкодам ")</f>
        <v xml:space="preserve">Mobile SMARTS: Магазин 15, МЕГАМАРКЕТ для «1С: Розница 2.2», для работы с товаром по штрихкодам </v>
      </c>
      <c r="F5" s="5">
        <f ca="1">IFERROR(__xludf.DUMMYFUNCTION("""COMPUTED_VALUE"""),21550)</f>
        <v>21550</v>
      </c>
    </row>
    <row r="6" spans="1:6" ht="86.25" customHeight="1" x14ac:dyDescent="0.2">
      <c r="A6" s="4" t="str">
        <f ca="1">IFERROR(__xludf.DUMMYFUNCTION("""COMPUTED_VALUE"""),"«1С: Розница 2.2»")</f>
        <v>«1С: Розница 2.2»</v>
      </c>
      <c r="B6" s="4" t="str">
        <f ca="1">IFERROR(__xludf.DUMMYFUNCTION("""COMPUTED_VALUE"""),"с ЕГАИС, БАЗОВЫЙ")</f>
        <v>с ЕГАИС, БАЗОВЫЙ</v>
      </c>
      <c r="C6" s="4" t="str">
        <f ca="1">IFERROR(__xludf.DUMMYFUNCTION("""COMPUTED_VALUE"""),"RTL15AE-1CRZ22")</f>
        <v>RTL15AE-1CRZ22</v>
      </c>
      <c r="D6" s="4" t="str">
        <f ca="1">IFERROR(__xludf.DUMMYFUNCTION("""COMPUTED_VALUE"""),"Mobile SMARTS: Магазин 15 с ЕГАИС, БАЗОВЫЙ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прие"&amp;"мка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скл"&amp;"адах,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6" s="4" t="str">
        <f ca="1">IFERROR(__xludf.DUMMYFUNCTION("""COMPUTED_VALUE"""),"Mobile SMARTS: Магазин 15 с ЕГАИС, БАЗОВЫЙ для «1С: Розница 2.2», для работы с маркированным товаром: алкоголь ЕГАИС и товары по штрихкодам ")</f>
        <v xml:space="preserve">Mobile SMARTS: Магазин 15 с ЕГАИС, БАЗОВЫЙ для «1С: Розница 2.2», для работы с маркированным товаром: алкоголь ЕГАИС и товары по штрихкодам </v>
      </c>
      <c r="F6" s="5">
        <f ca="1">IFERROR(__xludf.DUMMYFUNCTION("""COMPUTED_VALUE"""),11000)</f>
        <v>11000</v>
      </c>
    </row>
    <row r="7" spans="1:6" ht="86.25" customHeight="1" x14ac:dyDescent="0.2">
      <c r="A7" s="4" t="str">
        <f ca="1">IFERROR(__xludf.DUMMYFUNCTION("""COMPUTED_VALUE"""),"«1С: Розница 2.2»")</f>
        <v>«1С: Розница 2.2»</v>
      </c>
      <c r="B7" s="4" t="str">
        <f ca="1">IFERROR(__xludf.DUMMYFUNCTION("""COMPUTED_VALUE"""),"с ЕГАИС, РАСШИРЕННЫЙ")</f>
        <v>с ЕГАИС, РАСШИРЕННЫЙ</v>
      </c>
      <c r="C7" s="4" t="str">
        <f ca="1">IFERROR(__xludf.DUMMYFUNCTION("""COMPUTED_VALUE"""),"RTL15BE-1CRZ22")</f>
        <v>RTL15BE-1CRZ22</v>
      </c>
      <c r="D7" s="3" t="str">
        <f ca="1">IFERROR(__xludf.DUMMYFUNCTION("""COMPUTED_VALUE"""),"Mobile SMARTS: Магазин 15 с ЕГАИС, РАСШИРЕННЫЙ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"&amp;"приемка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товаре,"&amp;"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" s="4" t="str">
        <f ca="1">IFERROR(__xludf.DUMMYFUNCTION("""COMPUTED_VALUE"""),"Mobile SMARTS: Магазин 15 с ЕГАИС, РАСШИРЕННЫЙ для «1С: Розница 2.2», для работы с маркированным товаром: алкоголь ЕГАИС и товары по штрихкодам ")</f>
        <v xml:space="preserve">Mobile SMARTS: Магазин 15 с ЕГАИС, РАСШИРЕННЫЙ для «1С: Розница 2.2», для работы с маркированным товаром: алкоголь ЕГАИС и товары по штрихкодам </v>
      </c>
      <c r="F7" s="5">
        <f ca="1">IFERROR(__xludf.DUMMYFUNCTION("""COMPUTED_VALUE"""),17450)</f>
        <v>17450</v>
      </c>
    </row>
    <row r="8" spans="1:6" ht="86.25" customHeight="1" x14ac:dyDescent="0.2">
      <c r="A8" s="4" t="str">
        <f ca="1">IFERROR(__xludf.DUMMYFUNCTION("""COMPUTED_VALUE"""),"«1С: Розница 2.2»")</f>
        <v>«1С: Розница 2.2»</v>
      </c>
      <c r="B8" s="4" t="str">
        <f ca="1">IFERROR(__xludf.DUMMYFUNCTION("""COMPUTED_VALUE"""),"с ЕГАИС (без CheckMark2), МЕГАМАРКЕТ")</f>
        <v>с ЕГАИС (без CheckMark2), МЕГАМАРКЕТ</v>
      </c>
      <c r="C8" s="4" t="str">
        <f ca="1">IFERROR(__xludf.DUMMYFUNCTION("""COMPUTED_VALUE"""),"RTL15CEV-1CRZ22")</f>
        <v>RTL15CEV-1CRZ22</v>
      </c>
      <c r="D8" s="4" t="str">
        <f ca="1">IFERROR(__xludf.DUMMYFUNCTION("""COMPUTED_VALUE"""),"Mobile SMARTS: Магазин 15 с ЕГАИС (без CheckMark2), МЕГАМАРКЕТ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операции:"&amp;"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мо"&amp;"бильный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Интернет"&amp;" на 1 (один) год")</f>
        <v>Mobile SMARTS: Магазин 15 с ЕГАИС (без CheckMark2), МЕГАМАРКЕТ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" s="4" t="str">
        <f ca="1">IFERROR(__xludf.DUMMYFUNCTION("""COMPUTED_VALUE"""),"Mobile SMARTS: Магазин 15 с ЕГАИС (без CheckMark2), МЕГАМАРКЕТ для «1С: Розница 2.2»,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Розница 2.2», для работы с маркированным товаром: алкоголь ЕГАИС и товары по штрихкодам </v>
      </c>
      <c r="F8" s="5">
        <f ca="1">IFERROR(__xludf.DUMMYFUNCTION("""COMPUTED_VALUE"""),23850)</f>
        <v>23850</v>
      </c>
    </row>
    <row r="9" spans="1:6" ht="86.25" customHeight="1" x14ac:dyDescent="0.2">
      <c r="A9" s="4" t="str">
        <f ca="1">IFERROR(__xludf.DUMMYFUNCTION("""COMPUTED_VALUE"""),"«1С: Розница 2.3»")</f>
        <v>«1С: Розница 2.3»</v>
      </c>
      <c r="B9" s="4" t="str">
        <f ca="1">IFERROR(__xludf.DUMMYFUNCTION("""COMPUTED_VALUE"""),"МИНИМУМ")</f>
        <v>МИНИМУМ</v>
      </c>
      <c r="C9" s="4" t="str">
        <f ca="1">IFERROR(__xludf.DUMMYFUNCTION("""COMPUTED_VALUE"""),"RTL15M-1CRZ23")</f>
        <v>RTL15M-1CRZ23</v>
      </c>
      <c r="D9" s="4" t="str">
        <f ca="1">IFERROR(__xludf.DUMMYFUNCTION("""COMPUTED_VALUE"""),"Mobile SMARTS: Магазин 15, МИНИМУМ для «1С: Розница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пров"&amp;"ерка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«1С: Розница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" s="4" t="str">
        <f ca="1">IFERROR(__xludf.DUMMYFUNCTION("""COMPUTED_VALUE"""),"Mobile SMARTS: Магазин 15, МИНИМУМ для «1С: Розница 2.3», для работы с товаром по штрихкодам ")</f>
        <v xml:space="preserve">Mobile SMARTS: Магазин 15, МИНИМУМ для «1С: Розница 2.3», для работы с товаром по штрихкодам </v>
      </c>
      <c r="F9" s="5">
        <f ca="1">IFERROR(__xludf.DUMMYFUNCTION("""COMPUTED_VALUE"""),3450)</f>
        <v>3450</v>
      </c>
    </row>
    <row r="10" spans="1:6" ht="86.25" customHeight="1" x14ac:dyDescent="0.2">
      <c r="A10" s="4" t="str">
        <f ca="1">IFERROR(__xludf.DUMMYFUNCTION("""COMPUTED_VALUE"""),"«1С: Розница 2.3»")</f>
        <v>«1С: Розница 2.3»</v>
      </c>
      <c r="B10" s="4" t="str">
        <f ca="1">IFERROR(__xludf.DUMMYFUNCTION("""COMPUTED_VALUE"""),"БАЗОВЫЙ")</f>
        <v>БАЗОВЫЙ</v>
      </c>
      <c r="C10" s="4" t="str">
        <f ca="1">IFERROR(__xludf.DUMMYFUNCTION("""COMPUTED_VALUE"""),"RTL15A-1CRZ23")</f>
        <v>RTL15A-1CRZ23</v>
      </c>
      <c r="D10" s="4" t="str">
        <f ca="1">IFERROR(__xludf.DUMMYFUNCTION("""COMPUTED_VALUE"""),"Mobile SMARTS: Магазин 15, БАЗОВЫЙ для «1С: Розница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мобил"&amp;"ьный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во"&amp;"зможность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Розница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" s="4" t="str">
        <f ca="1">IFERROR(__xludf.DUMMYFUNCTION("""COMPUTED_VALUE"""),"Mobile SMARTS: Магазин 15, БАЗОВЫЙ для «1С: Розница 2.3», для работы с товаром по штрихкодам ")</f>
        <v xml:space="preserve">Mobile SMARTS: Магазин 15, БАЗОВЫЙ для «1С: Розница 2.3», для работы с товаром по штрихкодам </v>
      </c>
      <c r="F10" s="5">
        <f ca="1">IFERROR(__xludf.DUMMYFUNCTION("""COMPUTED_VALUE"""),8650)</f>
        <v>8650</v>
      </c>
    </row>
    <row r="11" spans="1:6" ht="86.25" customHeight="1" x14ac:dyDescent="0.2">
      <c r="A11" s="4" t="str">
        <f ca="1">IFERROR(__xludf.DUMMYFUNCTION("""COMPUTED_VALUE"""),"«1С: Розница 2.3»")</f>
        <v>«1С: Розница 2.3»</v>
      </c>
      <c r="B11" s="4" t="str">
        <f ca="1">IFERROR(__xludf.DUMMYFUNCTION("""COMPUTED_VALUE"""),"РАСШИРЕННЫЙ")</f>
        <v>РАСШИРЕННЫЙ</v>
      </c>
      <c r="C11" s="4" t="str">
        <f ca="1">IFERROR(__xludf.DUMMYFUNCTION("""COMPUTED_VALUE"""),"RTL15B-1CRZ23")</f>
        <v>RTL15B-1CRZ23</v>
      </c>
      <c r="D11" s="4" t="str">
        <f ca="1">IFERROR(__xludf.DUMMYFUNCTION("""COMPUTED_VALUE"""),"Mobile SMARTS: Магазин 15, РАСШИРЕННЫЙ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м"&amp;"обильный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"&amp;"/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" s="4" t="str">
        <f ca="1">IFERROR(__xludf.DUMMYFUNCTION("""COMPUTED_VALUE"""),"Mobile SMARTS: Магазин 15, РАСШИРЕННЫЙ для «1С: Розница 2.3», для работы с товаром по штрихкодам ")</f>
        <v xml:space="preserve">Mobile SMARTS: Магазин 15, РАСШИРЕННЫЙ для «1С: Розница 2.3», для работы с товаром по штрихкодам </v>
      </c>
      <c r="F11" s="5">
        <f ca="1">IFERROR(__xludf.DUMMYFUNCTION("""COMPUTED_VALUE"""),15050)</f>
        <v>15050</v>
      </c>
    </row>
    <row r="12" spans="1:6" ht="86.25" customHeight="1" x14ac:dyDescent="0.2">
      <c r="A12" s="4" t="str">
        <f ca="1">IFERROR(__xludf.DUMMYFUNCTION("""COMPUTED_VALUE"""),"«1С: Розница 2.3»")</f>
        <v>«1С: Розница 2.3»</v>
      </c>
      <c r="B12" s="4" t="str">
        <f ca="1">IFERROR(__xludf.DUMMYFUNCTION("""COMPUTED_VALUE"""),"МЕГАМАРКЕТ")</f>
        <v>МЕГАМАРКЕТ</v>
      </c>
      <c r="C12" s="4" t="str">
        <f ca="1">IFERROR(__xludf.DUMMYFUNCTION("""COMPUTED_VALUE"""),"RTL15C-1CRZ23")</f>
        <v>RTL15C-1CRZ23</v>
      </c>
      <c r="D12" s="4" t="str">
        <f ca="1">IFERROR(__xludf.DUMMYFUNCTION("""COMPUTED_VALUE"""),"Mobile SMARTS: Магазин 15, МЕГАМАРКЕТ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мо"&amp;"бильный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су"&amp;"ществующих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" s="4" t="str">
        <f ca="1">IFERROR(__xludf.DUMMYFUNCTION("""COMPUTED_VALUE"""),"Mobile SMARTS: Магазин 15, МЕГАМАРКЕТ для «1С: Розница 2.3», для работы с товаром по штрихкодам ")</f>
        <v xml:space="preserve">Mobile SMARTS: Магазин 15, МЕГАМАРКЕТ для «1С: Розница 2.3», для работы с товаром по штрихкодам </v>
      </c>
      <c r="F12" s="5">
        <f ca="1">IFERROR(__xludf.DUMMYFUNCTION("""COMPUTED_VALUE"""),21550)</f>
        <v>21550</v>
      </c>
    </row>
    <row r="13" spans="1:6" ht="86.25" customHeight="1" x14ac:dyDescent="0.2">
      <c r="A13" s="4" t="str">
        <f ca="1">IFERROR(__xludf.DUMMYFUNCTION("""COMPUTED_VALUE"""),"«1С: Розница 2.3»")</f>
        <v>«1С: Розница 2.3»</v>
      </c>
      <c r="B13" s="4" t="str">
        <f ca="1">IFERROR(__xludf.DUMMYFUNCTION("""COMPUTED_VALUE"""),"с ЕГАИС, БАЗОВЫЙ")</f>
        <v>с ЕГАИС, БАЗОВЫЙ</v>
      </c>
      <c r="C13" s="4" t="str">
        <f ca="1">IFERROR(__xludf.DUMMYFUNCTION("""COMPUTED_VALUE"""),"RTL15AE-1CRZ23")</f>
        <v>RTL15AE-1CRZ23</v>
      </c>
      <c r="D13" s="4" t="str">
        <f ca="1">IFERROR(__xludf.DUMMYFUNCTION("""COMPUTED_VALUE"""),"Mobile SMARTS: Магазин 15 с ЕГАИС, БАЗОВЫЙ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прие"&amp;"мка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скл"&amp;"адах,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3" s="4" t="str">
        <f ca="1">IFERROR(__xludf.DUMMYFUNCTION("""COMPUTED_VALUE"""),"Mobile SMARTS: Магазин 15 с ЕГАИС, БАЗОВЫЙ для «1С: Розница 2.3», для работы с маркированным товаром: алкоголь ЕГАИС и товары по штрихкодам ")</f>
        <v xml:space="preserve">Mobile SMARTS: Магазин 15 с ЕГАИС, БАЗОВЫЙ для «1С: Розница 2.3», для работы с маркированным товаром: алкоголь ЕГАИС и товары по штрихкодам </v>
      </c>
      <c r="F13" s="5">
        <f ca="1">IFERROR(__xludf.DUMMYFUNCTION("""COMPUTED_VALUE"""),11000)</f>
        <v>11000</v>
      </c>
    </row>
    <row r="14" spans="1:6" ht="86.25" customHeight="1" x14ac:dyDescent="0.2">
      <c r="A14" s="4" t="str">
        <f ca="1">IFERROR(__xludf.DUMMYFUNCTION("""COMPUTED_VALUE"""),"«1С: Розница 2.3»")</f>
        <v>«1С: Розница 2.3»</v>
      </c>
      <c r="B14" s="4" t="str">
        <f ca="1">IFERROR(__xludf.DUMMYFUNCTION("""COMPUTED_VALUE"""),"с ЕГАИС, РАСШИРЕННЫЙ")</f>
        <v>с ЕГАИС, РАСШИРЕННЫЙ</v>
      </c>
      <c r="C14" s="4" t="str">
        <f ca="1">IFERROR(__xludf.DUMMYFUNCTION("""COMPUTED_VALUE"""),"RTL15BE-1CRZ23")</f>
        <v>RTL15BE-1CRZ23</v>
      </c>
      <c r="D14" s="4" t="str">
        <f ca="1">IFERROR(__xludf.DUMMYFUNCTION("""COMPUTED_VALUE"""),"Mobile SMARTS: Магазин 15 с ЕГАИС, РАСШИРЕННЫЙ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"&amp;"приемка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товаре,"&amp;"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" s="4" t="str">
        <f ca="1">IFERROR(__xludf.DUMMYFUNCTION("""COMPUTED_VALUE"""),"Mobile SMARTS: Магазин 15 с ЕГАИС, РАСШИРЕННЫЙ для «1С: Розница 2.3», для работы с маркированным товаром: алкоголь ЕГАИС и товары по штрихкодам ")</f>
        <v xml:space="preserve">Mobile SMARTS: Магазин 15 с ЕГАИС, РАСШИРЕННЫЙ для «1С: Розница 2.3», для работы с маркированным товаром: алкоголь ЕГАИС и товары по штрихкодам </v>
      </c>
      <c r="F14" s="5">
        <f ca="1">IFERROR(__xludf.DUMMYFUNCTION("""COMPUTED_VALUE"""),17450)</f>
        <v>17450</v>
      </c>
    </row>
    <row r="15" spans="1:6" ht="86.25" customHeight="1" x14ac:dyDescent="0.2">
      <c r="A15" s="4" t="str">
        <f ca="1">IFERROR(__xludf.DUMMYFUNCTION("""COMPUTED_VALUE"""),"«1С: Розница 2.3»")</f>
        <v>«1С: Розница 2.3»</v>
      </c>
      <c r="B15" s="4" t="str">
        <f ca="1">IFERROR(__xludf.DUMMYFUNCTION("""COMPUTED_VALUE"""),"с ЕГАИС (без CheckMark2), МЕГАМАРКЕТ")</f>
        <v>с ЕГАИС (без CheckMark2), МЕГАМАРКЕТ</v>
      </c>
      <c r="C15" s="4" t="str">
        <f ca="1">IFERROR(__xludf.DUMMYFUNCTION("""COMPUTED_VALUE"""),"RTL15CEV-1CRZ23")</f>
        <v>RTL15CEV-1CRZ23</v>
      </c>
      <c r="D15" s="4" t="str">
        <f ca="1">IFERROR(__xludf.DUMMYFUNCTION("""COMPUTED_VALUE"""),"Mobile SMARTS: Магазин 15 с ЕГАИС (без CheckMark2), МЕГАМАРКЕТ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операции:"&amp;"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мо"&amp;"бильный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Интернет"&amp;" на 1 (один) год")</f>
        <v>Mobile SMARTS: Магазин 15 с ЕГАИС (без CheckMark2), МЕГАМАРКЕТ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" s="4" t="str">
        <f ca="1">IFERROR(__xludf.DUMMYFUNCTION("""COMPUTED_VALUE"""),"Mobile SMARTS: Магазин 15 с ЕГАИС (без CheckMark2), МЕГАМАРКЕТ для «1С: Розница 2.3»,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Розница 2.3», для работы с маркированным товаром: алкоголь ЕГАИС и товары по штрихкодам </v>
      </c>
      <c r="F15" s="5">
        <f ca="1">IFERROR(__xludf.DUMMYFUNCTION("""COMPUTED_VALUE"""),23850)</f>
        <v>23850</v>
      </c>
    </row>
    <row r="16" spans="1:6" ht="86.25" customHeight="1" x14ac:dyDescent="0.2">
      <c r="A16" s="4" t="str">
        <f ca="1">IFERROR(__xludf.DUMMYFUNCTION("""COMPUTED_VALUE"""),"«1С: Розница 2.3.3»")</f>
        <v>«1С: Розница 2.3.3»</v>
      </c>
      <c r="B16" s="4" t="str">
        <f ca="1">IFERROR(__xludf.DUMMYFUNCTION("""COMPUTED_VALUE"""),"с МОТП, БАЗОВЫЙ")</f>
        <v>с МОТП, БАЗОВЫЙ</v>
      </c>
      <c r="C16" s="4" t="str">
        <f ca="1">IFERROR(__xludf.DUMMYFUNCTION("""COMPUTED_VALUE"""),"RTL15AT-1CRZ23")</f>
        <v>RTL15AT-1CRZ23</v>
      </c>
      <c r="D16" s="4" t="str">
        <f ca="1">IFERROR(__xludf.DUMMYFUNCTION("""COMPUTED_VALUE"""),"Mobile SMARTS: Магазин 15 с МОТП, БАЗОВЫЙ для «1С: Розница 2.3.3»,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приемка"&amp;"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«1С: Розница 2.3.3»,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" s="4" t="str">
        <f ca="1">IFERROR(__xludf.DUMMYFUNCTION("""COMPUTED_VALUE"""),"Mobile SMARTS: Магазин 15 с МОТП, БАЗОВЫЙ для «1С: Розница 2.3.3», для работы с маркированным товаром: ТАБАК и товары по штрихкодам ")</f>
        <v xml:space="preserve">Mobile SMARTS: Магазин 15 с МОТП, БАЗОВЫЙ для «1С: Розница 2.3.3», для работы с маркированным товаром: ТАБАК и товары по штрихкодам </v>
      </c>
      <c r="F16" s="5">
        <f ca="1">IFERROR(__xludf.DUMMYFUNCTION("""COMPUTED_VALUE"""),11150)</f>
        <v>11150</v>
      </c>
    </row>
    <row r="17" spans="1:6" ht="86.25" customHeight="1" x14ac:dyDescent="0.2">
      <c r="A17" s="4" t="str">
        <f ca="1">IFERROR(__xludf.DUMMYFUNCTION("""COMPUTED_VALUE"""),"«1С: Розница 2.3.3»")</f>
        <v>«1С: Розница 2.3.3»</v>
      </c>
      <c r="B17" s="4" t="str">
        <f ca="1">IFERROR(__xludf.DUMMYFUNCTION("""COMPUTED_VALUE"""),"с МОТП, РАСШИРЕННЫЙ")</f>
        <v>с МОТП, РАСШИРЕННЫЙ</v>
      </c>
      <c r="C17" s="4" t="str">
        <f ca="1">IFERROR(__xludf.DUMMYFUNCTION("""COMPUTED_VALUE"""),"RTL15BT-1CRZ23")</f>
        <v>RTL15BT-1CRZ23</v>
      </c>
      <c r="D17" s="4" t="str">
        <f ca="1">IFERROR(__xludf.DUMMYFUNCTION("""COMPUTED_VALUE"""),"Mobile SMARTS: Магазин 15 с МОТП, РАСШИРЕННЫЙ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при"&amp;"емка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с"&amp;"кладах,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" s="4" t="str">
        <f ca="1">IFERROR(__xludf.DUMMYFUNCTION("""COMPUTED_VALUE"""),"Mobile SMARTS: Магазин 15 с МОТП, РАСШИРЕННЫЙ для «1С: Розница 2.3.3», для работы с маркированным товаром: ТАБАК и товары по штрихкодам ")</f>
        <v xml:space="preserve">Mobile SMARTS: Магазин 15 с МОТП, РАСШИРЕННЫЙ для «1С: Розница 2.3.3», для работы с маркированным товаром: ТАБАК и товары по штрихкодам </v>
      </c>
      <c r="F17" s="5">
        <f ca="1">IFERROR(__xludf.DUMMYFUNCTION("""COMPUTED_VALUE"""),17450)</f>
        <v>17450</v>
      </c>
    </row>
    <row r="18" spans="1:6" ht="86.25" customHeight="1" x14ac:dyDescent="0.2">
      <c r="A18" s="4" t="str">
        <f ca="1">IFERROR(__xludf.DUMMYFUNCTION("""COMPUTED_VALUE"""),"«1С: Розница 2.3.3»")</f>
        <v>«1С: Розница 2.3.3»</v>
      </c>
      <c r="B18" s="4" t="str">
        <f ca="1">IFERROR(__xludf.DUMMYFUNCTION("""COMPUTED_VALUE"""),"с МОТП, МЕГАМАРКЕТ")</f>
        <v>с МОТП, МЕГАМАРКЕТ</v>
      </c>
      <c r="C18" s="4" t="str">
        <f ca="1">IFERROR(__xludf.DUMMYFUNCTION("""COMPUTED_VALUE"""),"RTL15CT-1CRZ23")</f>
        <v>RTL15CT-1CRZ23</v>
      </c>
      <c r="D18" s="4" t="str">
        <f ca="1">IFERROR(__xludf.DUMMYFUNCTION("""COMPUTED_VALUE"""),"Mobile SMARTS: Магазин 15 с МОТП, МЕГАМАРКЕТ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прие"&amp;"мка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МЕГАМАРКЕТ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" s="4" t="str">
        <f ca="1">IFERROR(__xludf.DUMMYFUNCTION("""COMPUTED_VALUE"""),"Mobile SMARTS: Магазин 15 с МОТП, МЕГАМАРКЕТ для «1С: Розница 2.3.3», для работы с маркированным товаром: ТАБАК и товары по штрихкодам ")</f>
        <v xml:space="preserve">Mobile SMARTS: Магазин 15 с МОТП, МЕГАМАРКЕТ для «1С: Розница 2.3.3», для работы с маркированным товаром: ТАБАК и товары по штрихкодам </v>
      </c>
      <c r="F18" s="5">
        <f ca="1">IFERROR(__xludf.DUMMYFUNCTION("""COMPUTED_VALUE"""),23850)</f>
        <v>23850</v>
      </c>
    </row>
    <row r="19" spans="1:6" ht="86.25" customHeight="1" x14ac:dyDescent="0.2">
      <c r="A19" s="4" t="str">
        <f ca="1">IFERROR(__xludf.DUMMYFUNCTION("""COMPUTED_VALUE"""),"«1С: Розница 2.3.3»")</f>
        <v>«1С: Розница 2.3.3»</v>
      </c>
      <c r="B19" s="4" t="str">
        <f ca="1">IFERROR(__xludf.DUMMYFUNCTION("""COMPUTED_VALUE"""),"с ЕГАИС и МОТП, БАЗОВЫЙ")</f>
        <v>с ЕГАИС и МОТП, БАЗОВЫЙ</v>
      </c>
      <c r="C19" s="4" t="str">
        <f ca="1">IFERROR(__xludf.DUMMYFUNCTION("""COMPUTED_VALUE"""),"RTL15AET-1CRZ23")</f>
        <v>RTL15AET-1CRZ23</v>
      </c>
      <c r="D19" s="4" t="str">
        <f ca="1">IFERROR(__xludf.DUMMYFUNCTION("""COMPUTED_VALUE"""),"Mobile SMARTS: Магазин 15 с ЕГАИС и МОТП, БАЗОВЫЙ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алко"&amp;"голя,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марки"&amp;"ровка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доб"&amp;"авлять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" s="4" t="str">
        <f ca="1">IFERROR(__xludf.DUMMYFUNCTION("""COMPUTED_VALUE"""),"Mobile SMARTS: Магазин 15 с ЕГАИС и МОТП, БАЗОВЫЙ для «1С: Розница 2.3.3», для работы с маркированным товаром: АЛКОГОЛЬ, ТАБАК и товары по штрихкодам ")</f>
        <v xml:space="preserve">Mobile SMARTS: Магазин 15 с ЕГАИС и МОТП, БАЗОВЫЙ для «1С: Розница 2.3.3», для работы с маркированным товаром: АЛКОГОЛЬ, ТАБАК и товары по штрихкодам </v>
      </c>
      <c r="F19" s="5">
        <f ca="1">IFERROR(__xludf.DUMMYFUNCTION("""COMPUTED_VALUE"""),12150)</f>
        <v>12150</v>
      </c>
    </row>
    <row r="20" spans="1:6" ht="86.25" customHeight="1" x14ac:dyDescent="0.2">
      <c r="A20" s="4" t="str">
        <f ca="1">IFERROR(__xludf.DUMMYFUNCTION("""COMPUTED_VALUE"""),"«1С: Розница 2.3.3»")</f>
        <v>«1С: Розница 2.3.3»</v>
      </c>
      <c r="B20" s="4" t="str">
        <f ca="1">IFERROR(__xludf.DUMMYFUNCTION("""COMPUTED_VALUE"""),"с ЕГАИС и МОТП, РАСШИРЕННЫЙ")</f>
        <v>с ЕГАИС и МОТП, РАСШИРЕННЫЙ</v>
      </c>
      <c r="C20" s="4" t="str">
        <f ca="1">IFERROR(__xludf.DUMMYFUNCTION("""COMPUTED_VALUE"""),"RTL15BET-1CRZ23")</f>
        <v>RTL15BET-1CRZ23</v>
      </c>
      <c r="D20" s="4" t="str">
        <f ca="1">IFERROR(__xludf.DUMMYFUNCTION("""COMPUTED_VALUE"""),"Mobile SMARTS: Магазин 15 с ЕГАИС и МОТП, РАСШИРЕННЫЙ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"&amp;"алкоголя,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м"&amp;"аркировка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возможность"&amp;"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" s="4" t="str">
        <f ca="1">IFERROR(__xludf.DUMMYFUNCTION("""COMPUTED_VALUE"""),"Mobile SMARTS: Магазин 15 с ЕГАИС и МОТП, РАСШИРЕННЫЙ для «1С: Розница 2.3.3», для работы с маркированным товаром: АЛКОГОЛЬ, ТАБАК и товары по штрихкодам ")</f>
        <v xml:space="preserve">Mobile SMARTS: Магазин 15 с ЕГАИС и МОТП, РАСШИРЕННЫЙ для «1С: Розница 2.3.3», для работы с маркированным товаром: АЛКОГОЛЬ, ТАБАК и товары по штрихкодам </v>
      </c>
      <c r="F20" s="5">
        <f ca="1">IFERROR(__xludf.DUMMYFUNCTION("""COMPUTED_VALUE"""),18550)</f>
        <v>18550</v>
      </c>
    </row>
    <row r="21" spans="1:6" ht="86.25" customHeight="1" x14ac:dyDescent="0.2">
      <c r="A21" s="4" t="str">
        <f ca="1">IFERROR(__xludf.DUMMYFUNCTION("""COMPUTED_VALUE"""),"«1С: Розница 2.3.3»")</f>
        <v>«1С: Розница 2.3.3»</v>
      </c>
      <c r="B21" s="4" t="str">
        <f ca="1">IFERROR(__xludf.DUMMYFUNCTION("""COMPUTED_VALUE"""),"с ЕГАИС и МОТП, МЕГАМАРКЕТ")</f>
        <v>с ЕГАИС и МОТП, МЕГАМАРКЕТ</v>
      </c>
      <c r="C21" s="4" t="str">
        <f ca="1">IFERROR(__xludf.DUMMYFUNCTION("""COMPUTED_VALUE"""),"RTL15CET-1CRZ23")</f>
        <v>RTL15CET-1CRZ23</v>
      </c>
      <c r="D21" s="4" t="str">
        <f ca="1">IFERROR(__xludf.DUMMYFUNCTION("""COMPUTED_VALUE"""),"Mobile SMARTS: Магазин 15 с ЕГАИС и МОТП, МЕГАМАРКЕТ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а"&amp;"лкоголя,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ма"&amp;"ркировка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оп"&amp;"ераций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" s="4" t="str">
        <f ca="1">IFERROR(__xludf.DUMMYFUNCTION("""COMPUTED_VALUE"""),"Mobile SMARTS: Магазин 15 с ЕГАИС и МОТП, МЕГАМАРКЕТ для «1С: Розница 2.3.3», для работы с маркированным товаром: АЛКОГОЛЬ, ТАБАК и товары по штрихкодам ")</f>
        <v xml:space="preserve">Mobile SMARTS: Магазин 15 с ЕГАИС и МОТП, МЕГАМАРКЕТ для «1С: Розница 2.3.3», для работы с маркированным товаром: АЛКОГОЛЬ, ТАБАК и товары по штрихкодам </v>
      </c>
      <c r="F21" s="5">
        <f ca="1">IFERROR(__xludf.DUMMYFUNCTION("""COMPUTED_VALUE"""),26350)</f>
        <v>26350</v>
      </c>
    </row>
    <row r="22" spans="1:6" ht="86.25" customHeight="1" x14ac:dyDescent="0.2">
      <c r="A22" s="4" t="str">
        <f ca="1">IFERROR(__xludf.DUMMYFUNCTION("""COMPUTED_VALUE"""),"«1С: Розница 2.3.3»")</f>
        <v>«1С: Розница 2.3.3»</v>
      </c>
      <c r="B22" s="4" t="str">
        <f ca="1">IFERROR(__xludf.DUMMYFUNCTION("""COMPUTED_VALUE"""),"ШМОТКИ, БАЗОВЫЙ")</f>
        <v>ШМОТКИ, БАЗОВЫЙ</v>
      </c>
      <c r="C22" s="4" t="str">
        <f ca="1">IFERROR(__xludf.DUMMYFUNCTION("""COMPUTED_VALUE"""),"RTL15AK-1CRZ23")</f>
        <v>RTL15AK-1CRZ23</v>
      </c>
      <c r="D22" s="4" t="str">
        <f ca="1">IFERROR(__xludf.DUMMYFUNCTION("""COMPUTED_VALUE"""),"Mobile SMARTS: Магазин 15 ШМОТКИ, БАЗОВЫЙ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посту"&amp;"пление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инфо"&amp;"рмация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ШМОТКИ, БАЗОВЫЙ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" s="4" t="str">
        <f ca="1">IFERROR(__xludf.DUMMYFUNCTION("""COMPUTED_VALUE"""),"Mobile SMARTS: Магазин 15 ШМОТКИ, БАЗОВЫЙ для «1С: Розница 2.3.3», для работы с маркированным товаром: ОБУВЬ, ОДЕЖДА, ПАРФЮМ, ШИНЫ и товары по штрихкодам ")</f>
        <v xml:space="preserve">Mobile SMARTS: Магазин 15 ШМОТКИ, БАЗОВЫЙ для «1С: Розница 2.3.3», для работы с маркированным товаром: ОБУВЬ, ОДЕЖДА, ПАРФЮМ, ШИНЫ и товары по штрихкодам </v>
      </c>
      <c r="F22" s="5">
        <f ca="1">IFERROR(__xludf.DUMMYFUNCTION("""COMPUTED_VALUE"""),12150)</f>
        <v>12150</v>
      </c>
    </row>
    <row r="23" spans="1:6" ht="86.25" customHeight="1" x14ac:dyDescent="0.2">
      <c r="A23" s="4" t="str">
        <f ca="1">IFERROR(__xludf.DUMMYFUNCTION("""COMPUTED_VALUE"""),"«1С: Розница 2.3.3»")</f>
        <v>«1С: Розница 2.3.3»</v>
      </c>
      <c r="B23" s="4" t="str">
        <f ca="1">IFERROR(__xludf.DUMMYFUNCTION("""COMPUTED_VALUE"""),"ШМОТКИ, РАСШИРЕННЫЙ")</f>
        <v>ШМОТКИ, РАСШИРЕННЫЙ</v>
      </c>
      <c r="C23" s="4" t="str">
        <f ca="1">IFERROR(__xludf.DUMMYFUNCTION("""COMPUTED_VALUE"""),"RTL15BK-1CRZ23")</f>
        <v>RTL15BK-1CRZ23</v>
      </c>
      <c r="D23" s="4" t="str">
        <f ca="1">IFERROR(__xludf.DUMMYFUNCTION("""COMPUTED_VALUE"""),"Mobile SMARTS: Магазин 15 ШМОТКИ, РАСШИРЕННЫЙ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п"&amp;"оступление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ШМОТКИ, РАСШИРЕННЫЙ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" s="4" t="str">
        <f ca="1">IFERROR(__xludf.DUMMYFUNCTION("""COMPUTED_VALUE"""),"Mobile SMARTS: Магазин 15 ШМОТКИ, РАСШИРЕННЫЙ для «1С: Розница 2.3.3»,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Розница 2.3.3», для работы с маркированным товаром: ОБУВЬ, ОДЕЖДА, ПАРФЮМ, ШИНЫ и товары по штрихкодам </v>
      </c>
      <c r="F23" s="5">
        <f ca="1">IFERROR(__xludf.DUMMYFUNCTION("""COMPUTED_VALUE"""),18550)</f>
        <v>18550</v>
      </c>
    </row>
    <row r="24" spans="1:6" ht="86.25" customHeight="1" x14ac:dyDescent="0.2">
      <c r="A24" s="4" t="str">
        <f ca="1">IFERROR(__xludf.DUMMYFUNCTION("""COMPUTED_VALUE"""),"«1С: Розница 2.3.3»")</f>
        <v>«1С: Розница 2.3.3»</v>
      </c>
      <c r="B24" s="4" t="str">
        <f ca="1">IFERROR(__xludf.DUMMYFUNCTION("""COMPUTED_VALUE"""),"ШМОТКИ, МЕГАМАРКЕТ")</f>
        <v>ШМОТКИ, МЕГАМАРКЕТ</v>
      </c>
      <c r="C24" s="4" t="str">
        <f ca="1">IFERROR(__xludf.DUMMYFUNCTION("""COMPUTED_VALUE"""),"RTL15CK-1CRZ23")</f>
        <v>RTL15CK-1CRZ23</v>
      </c>
      <c r="D24" s="4" t="str">
        <f ca="1">IFERROR(__xludf.DUMMYFUNCTION("""COMPUTED_VALUE"""),"Mobile SMARTS: Магазин 15 ШМОТКИ, МЕГАМАРКЕТ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по"&amp;"ступление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к"&amp;"оллективная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Инте"&amp;"рнет на 1 (один) год")</f>
        <v>Mobile SMARTS: Магазин 15 ШМОТКИ, МЕГАМАРКЕТ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" s="4" t="str">
        <f ca="1">IFERROR(__xludf.DUMMYFUNCTION("""COMPUTED_VALUE"""),"Mobile SMARTS: Магазин 15 ШМОТКИ, МЕГАМАРКЕТ для «1С: Розница 2.3.3»,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Розница 2.3.3», для работы с маркированным товаром: ОБУВЬ, ОДЕЖДА, ПАРФЮМ, ШИНЫ и товары по штрихкодам </v>
      </c>
      <c r="F24" s="5">
        <f ca="1">IFERROR(__xludf.DUMMYFUNCTION("""COMPUTED_VALUE"""),26350)</f>
        <v>26350</v>
      </c>
    </row>
    <row r="25" spans="1:6" ht="86.25" customHeight="1" x14ac:dyDescent="0.2">
      <c r="A25" s="4" t="str">
        <f ca="1">IFERROR(__xludf.DUMMYFUNCTION("""COMPUTED_VALUE"""),"«1С: Розница 2.3.3»")</f>
        <v>«1С: Розница 2.3.3»</v>
      </c>
      <c r="B25" s="4" t="str">
        <f ca="1">IFERROR(__xludf.DUMMYFUNCTION("""COMPUTED_VALUE"""),"ПРОДУКТОВЫЙ, БАЗОВЫЙ")</f>
        <v>ПРОДУКТОВЫЙ, БАЗОВЫЙ</v>
      </c>
      <c r="C25" s="4" t="str">
        <f ca="1">IFERROR(__xludf.DUMMYFUNCTION("""COMPUTED_VALUE"""),"RTL15AG-1CRZ23")</f>
        <v>RTL15AG-1CRZ23</v>
      </c>
      <c r="D25" s="4" t="str">
        <f ca="1">IFERROR(__xludf.DUMMYFUNCTION("""COMPUTED_VALUE"""),"Mobile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"&amp;"/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отгрузк"&amp;"а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" s="4" t="str">
        <f ca="1">IFERROR(__xludf.DUMMYFUNCTION("""COMPUTED_VALUE"""),"Mobile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</v>
      </c>
      <c r="F25" s="5">
        <f ca="1">IFERROR(__xludf.DUMMYFUNCTION("""COMPUTED_VALUE"""),14550)</f>
        <v>14550</v>
      </c>
    </row>
    <row r="26" spans="1:6" ht="86.25" customHeight="1" x14ac:dyDescent="0.2">
      <c r="A26" s="4" t="str">
        <f ca="1">IFERROR(__xludf.DUMMYFUNCTION("""COMPUTED_VALUE"""),"«1С: Розница 2.3.3»")</f>
        <v>«1С: Розница 2.3.3»</v>
      </c>
      <c r="B26" s="4" t="str">
        <f ca="1">IFERROR(__xludf.DUMMYFUNCTION("""COMPUTED_VALUE"""),"ПРОДУКТОВЫЙ, РАСШИРЕННЫЙ")</f>
        <v>ПРОДУКТОВЫЙ, РАСШИРЕННЫЙ</v>
      </c>
      <c r="C26" s="4" t="str">
        <f ca="1">IFERROR(__xludf.DUMMYFUNCTION("""COMPUTED_VALUE"""),"RTL15BG-1CRZ23")</f>
        <v>RTL15BG-1CRZ23</v>
      </c>
      <c r="D26" s="4" t="str">
        <f ca="1">IFERROR(__xludf.DUMMYFUNCTION("""COMPUTED_VALUE"""),"Mobile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Интер"&amp;"нет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отг"&amp;"рузка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"&amp;"изменение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" s="4" t="str">
        <f ca="1">IFERROR(__xludf.DUMMYFUNCTION("""COMPUTED_VALUE"""),"Mobile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</v>
      </c>
      <c r="F26" s="5">
        <f ca="1">IFERROR(__xludf.DUMMYFUNCTION("""COMPUTED_VALUE"""),20950)</f>
        <v>20950</v>
      </c>
    </row>
    <row r="27" spans="1:6" ht="86.25" customHeight="1" x14ac:dyDescent="0.2">
      <c r="A27" s="4" t="str">
        <f ca="1">IFERROR(__xludf.DUMMYFUNCTION("""COMPUTED_VALUE"""),"«1С: Розница 2.3.3»")</f>
        <v>«1С: Розница 2.3.3»</v>
      </c>
      <c r="B27" s="4" t="str">
        <f ca="1">IFERROR(__xludf.DUMMYFUNCTION("""COMPUTED_VALUE"""),"ПРОДУКТОВЫЙ, МЕГАМАРКЕТ")</f>
        <v>ПРОДУКТОВЫЙ, МЕГАМАРКЕТ</v>
      </c>
      <c r="C27" s="4" t="str">
        <f ca="1">IFERROR(__xludf.DUMMYFUNCTION("""COMPUTED_VALUE"""),"RTL15CG-1CRZ23")</f>
        <v>RTL15CG-1CRZ23</v>
      </c>
      <c r="D27" s="4" t="str">
        <f ca="1">IFERROR(__xludf.DUMMYFUNCTION("""COMPUTED_VALUE"""),"Mobile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Интерн"&amp;"ет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отгр"&amp;"узка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"&amp;"и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" s="4" t="str">
        <f ca="1">IFERROR(__xludf.DUMMYFUNCTION("""COMPUTED_VALUE"""),"Mobile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</v>
      </c>
      <c r="F27" s="5">
        <f ca="1">IFERROR(__xludf.DUMMYFUNCTION("""COMPUTED_VALUE"""),28250)</f>
        <v>28250</v>
      </c>
    </row>
    <row r="28" spans="1:6" ht="86.25" customHeight="1" x14ac:dyDescent="0.2">
      <c r="A28" s="4" t="str">
        <f ca="1">IFERROR(__xludf.DUMMYFUNCTION("""COMPUTED_VALUE"""),"«1С: Управление небольшой фирмой 1.6»")</f>
        <v>«1С: Управление небольшой фирмой 1.6»</v>
      </c>
      <c r="B28" s="4" t="str">
        <f ca="1">IFERROR(__xludf.DUMMYFUNCTION("""COMPUTED_VALUE"""),"МИНИМУМ")</f>
        <v>МИНИМУМ</v>
      </c>
      <c r="C28" s="4" t="str">
        <f ca="1">IFERROR(__xludf.DUMMYFUNCTION("""COMPUTED_VALUE"""),"RTL15M-1CUNF16")</f>
        <v>RTL15M-1CUNF16</v>
      </c>
      <c r="D28" s="4" t="str">
        <f ca="1">IFERROR(__xludf.DUMMYFUNCTION("""COMPUTED_VALUE"""),"Mobile SMARTS: Магазин 15, МИНИМУМ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това"&amp;"ров,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("&amp;"один) год")</f>
        <v>Mobile SMARTS: Магазин 15, МИНИМУМ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8" s="4" t="str">
        <f ca="1">IFERROR(__xludf.DUMMYFUNCTION("""COMPUTED_VALUE"""),"Mobile SMARTS: Магазин 15, МИНИМУМ для «1С: Управление небольшой фирмой 1.6», для работы с товаром по штрихкодам ")</f>
        <v xml:space="preserve">Mobile SMARTS: Магазин 15, МИНИМУМ для «1С: Управление небольшой фирмой 1.6», для работы с товаром по штрихкодам </v>
      </c>
      <c r="F28" s="5">
        <f ca="1">IFERROR(__xludf.DUMMYFUNCTION("""COMPUTED_VALUE"""),3450)</f>
        <v>3450</v>
      </c>
    </row>
    <row r="29" spans="1:6" ht="86.25" customHeight="1" x14ac:dyDescent="0.2">
      <c r="A29" s="4" t="str">
        <f ca="1">IFERROR(__xludf.DUMMYFUNCTION("""COMPUTED_VALUE"""),"«1С: Управление небольшой фирмой 1.6»")</f>
        <v>«1С: Управление небольшой фирмой 1.6»</v>
      </c>
      <c r="B29" s="4" t="str">
        <f ca="1">IFERROR(__xludf.DUMMYFUNCTION("""COMPUTED_VALUE"""),"БАЗОВЫЙ")</f>
        <v>БАЗОВЫЙ</v>
      </c>
      <c r="C29" s="4" t="str">
        <f ca="1">IFERROR(__xludf.DUMMYFUNCTION("""COMPUTED_VALUE"""),"RTL15A-1CUNF16")</f>
        <v>RTL15A-1CUNF16</v>
      </c>
      <c r="D29" s="4" t="str">
        <f ca="1">IFERROR(__xludf.DUMMYFUNCTION("""COMPUTED_VALUE"""),"Mobile SMARTS: Магазин 15, БАЗОВЫЙ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т.ч"&amp;".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" s="4" t="str">
        <f ca="1">IFERROR(__xludf.DUMMYFUNCTION("""COMPUTED_VALUE"""),"Mobile SMARTS: Магазин 15, БАЗОВЫЙ для «1С: Управление небольшой фирмой 1.6», для работы с товаром по штрихкодам ")</f>
        <v xml:space="preserve">Mobile SMARTS: Магазин 15, БАЗОВЫЙ для «1С: Управление небольшой фирмой 1.6», для работы с товаром по штрихкодам </v>
      </c>
      <c r="F29" s="5">
        <f ca="1">IFERROR(__xludf.DUMMYFUNCTION("""COMPUTED_VALUE"""),8650)</f>
        <v>8650</v>
      </c>
    </row>
    <row r="30" spans="1:6" ht="86.25" customHeight="1" x14ac:dyDescent="0.2">
      <c r="A30" s="4" t="str">
        <f ca="1">IFERROR(__xludf.DUMMYFUNCTION("""COMPUTED_VALUE"""),"«1С: Управление небольшой фирмой 1.6»")</f>
        <v>«1С: Управление небольшой фирмой 1.6»</v>
      </c>
      <c r="B30" s="4" t="str">
        <f ca="1">IFERROR(__xludf.DUMMYFUNCTION("""COMPUTED_VALUE"""),"РАСШИРЕННЫЙ")</f>
        <v>РАСШИРЕННЫЙ</v>
      </c>
      <c r="C30" s="4" t="str">
        <f ca="1">IFERROR(__xludf.DUMMYFUNCTION("""COMPUTED_VALUE"""),"RTL15B-1CUNF16")</f>
        <v>RTL15B-1CUNF16</v>
      </c>
      <c r="D30" s="4" t="str">
        <f ca="1">IFERROR(__xludf.DUMMYFUNCTION("""COMPUTED_VALUE"""),"Mobile SMARTS: Магазин 15, РАСШИРЕННЫЙ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(в"&amp;"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су"&amp;"ществующих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" s="4" t="str">
        <f ca="1">IFERROR(__xludf.DUMMYFUNCTION("""COMPUTED_VALUE"""),"Mobile SMARTS: Магазин 15, РАСШИРЕННЫЙ для «1С: Управление небольшой фирмой 1.6», для работы с товаром по штрихкодам ")</f>
        <v xml:space="preserve">Mobile SMARTS: Магазин 15, РАСШИРЕННЫЙ для «1С: Управление небольшой фирмой 1.6», для работы с товаром по штрихкодам </v>
      </c>
      <c r="F30" s="5">
        <f ca="1">IFERROR(__xludf.DUMMYFUNCTION("""COMPUTED_VALUE"""),15050)</f>
        <v>15050</v>
      </c>
    </row>
    <row r="31" spans="1:6" ht="86.25" customHeight="1" x14ac:dyDescent="0.2">
      <c r="A31" s="4" t="str">
        <f ca="1">IFERROR(__xludf.DUMMYFUNCTION("""COMPUTED_VALUE"""),"«1С: Управление небольшой фирмой 1.6»")</f>
        <v>«1С: Управление небольшой фирмой 1.6»</v>
      </c>
      <c r="B31" s="4" t="str">
        <f ca="1">IFERROR(__xludf.DUMMYFUNCTION("""COMPUTED_VALUE"""),"МЕГАМАРКЕТ")</f>
        <v>МЕГАМАРКЕТ</v>
      </c>
      <c r="C31" s="4" t="str">
        <f ca="1">IFERROR(__xludf.DUMMYFUNCTION("""COMPUTED_VALUE"""),"RTL15C-1CUNF16")</f>
        <v>RTL15C-1CUNF16</v>
      </c>
      <c r="D31" s="4" t="str">
        <f ca="1">IFERROR(__xludf.DUMMYFUNCTION("""COMPUTED_VALUE"""),"Mobile SMARTS: Магазин 15, МЕГАМАРКЕТ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"&amp;"т.ч.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" s="4" t="str">
        <f ca="1">IFERROR(__xludf.DUMMYFUNCTION("""COMPUTED_VALUE"""),"Mobile SMARTS: Магазин 15, МЕГАМАРКЕТ для «1С: Управление небольшой фирмой 1.6», для работы с товаром по штрихкодам ")</f>
        <v xml:space="preserve">Mobile SMARTS: Магазин 15, МЕГАМАРКЕТ для «1С: Управление небольшой фирмой 1.6», для работы с товаром по штрихкодам </v>
      </c>
      <c r="F31" s="5">
        <f ca="1">IFERROR(__xludf.DUMMYFUNCTION("""COMPUTED_VALUE"""),21550)</f>
        <v>21550</v>
      </c>
    </row>
    <row r="32" spans="1:6" ht="86.25" customHeight="1" x14ac:dyDescent="0.2">
      <c r="A32" s="4" t="str">
        <f ca="1">IFERROR(__xludf.DUMMYFUNCTION("""COMPUTED_VALUE"""),"«1С: Управление небольшой фирмой 1.6»")</f>
        <v>«1С: Управление небольшой фирмой 1.6»</v>
      </c>
      <c r="B32" s="4" t="str">
        <f ca="1">IFERROR(__xludf.DUMMYFUNCTION("""COMPUTED_VALUE"""),"с ЕГАИС, БАЗОВЫЙ")</f>
        <v>с ЕГАИС, БАЗОВЫЙ</v>
      </c>
      <c r="C32" s="4" t="str">
        <f ca="1">IFERROR(__xludf.DUMMYFUNCTION("""COMPUTED_VALUE"""),"RTL15AE-1CUNF16")</f>
        <v>RTL15AE-1CUNF16</v>
      </c>
      <c r="D32" s="4" t="str">
        <f ca="1">IFERROR(__xludf.DUMMYFUNCTION("""COMPUTED_VALUE"""),"Mobile SMARTS: Магазин 15 с ЕГАИС, БАЗОВЫЙ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операции:"&amp;"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инфо"&amp;"рмация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2" s="4" t="str">
        <f ca="1">IFERROR(__xludf.DUMMYFUNCTION("""COMPUTED_VALUE"""),"Mobile SMARTS: Магазин 15 с ЕГАИС, БАЗОВЫЙ для «1С: Управление небольшой фирмой 1.6», для работы с маркированным товаром: алкоголь ЕГАИС и товары по штрихкодам ")</f>
        <v xml:space="preserve">Mobile SMARTS: Магазин 15 с ЕГАИС, БАЗОВЫЙ для «1С: Управление небольшой фирмой 1.6», для работы с маркированным товаром: алкоголь ЕГАИС и товары по штрихкодам </v>
      </c>
      <c r="F32" s="5">
        <f ca="1">IFERROR(__xludf.DUMMYFUNCTION("""COMPUTED_VALUE"""),11000)</f>
        <v>11000</v>
      </c>
    </row>
    <row r="33" spans="1:6" ht="86.25" customHeight="1" x14ac:dyDescent="0.2">
      <c r="A33" s="4" t="str">
        <f ca="1">IFERROR(__xludf.DUMMYFUNCTION("""COMPUTED_VALUE"""),"«1С: Управление небольшой фирмой 1.6»")</f>
        <v>«1С: Управление небольшой фирмой 1.6»</v>
      </c>
      <c r="B33" s="4" t="str">
        <f ca="1">IFERROR(__xludf.DUMMYFUNCTION("""COMPUTED_VALUE"""),"с ЕГАИС, РАСШИРЕННЫЙ")</f>
        <v>с ЕГАИС, РАСШИРЕННЫЙ</v>
      </c>
      <c r="C33" s="4" t="str">
        <f ca="1">IFERROR(__xludf.DUMMYFUNCTION("""COMPUTED_VALUE"""),"RTL15BE-1CUNF16")</f>
        <v>RTL15BE-1CUNF16</v>
      </c>
      <c r="D33" s="4" t="str">
        <f ca="1">IFERROR(__xludf.DUMMYFUNCTION("""COMPUTED_VALUE"""),"Mobile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опера"&amp;"ции: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" s="4" t="str">
        <f ca="1">IFERROR(__xludf.DUMMYFUNCTION("""COMPUTED_VALUE"""),"Mobile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")</f>
        <v xml:space="preserve">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</v>
      </c>
      <c r="F33" s="5">
        <f ca="1">IFERROR(__xludf.DUMMYFUNCTION("""COMPUTED_VALUE"""),17450)</f>
        <v>17450</v>
      </c>
    </row>
    <row r="34" spans="1:6" ht="86.25" customHeight="1" x14ac:dyDescent="0.2">
      <c r="A34" s="4" t="str">
        <f ca="1">IFERROR(__xludf.DUMMYFUNCTION("""COMPUTED_VALUE"""),"«1С: Управление небольшой фирмой 1.6»")</f>
        <v>«1С: Управление небольшой фирмой 1.6»</v>
      </c>
      <c r="B34" s="4" t="str">
        <f ca="1">IFERROR(__xludf.DUMMYFUNCTION("""COMPUTED_VALUE"""),"с ЕГАИС (без CheckMark2), МЕГАМАРКЕТ")</f>
        <v>с ЕГАИС (без CheckMark2), МЕГАМАРКЕТ</v>
      </c>
      <c r="C34" s="4" t="str">
        <f ca="1">IFERROR(__xludf.DUMMYFUNCTION("""COMPUTED_VALUE"""),"RTL15CEV-1CUNF16")</f>
        <v>RTL15CEV-1CUNF16</v>
      </c>
      <c r="D34" s="4" t="str">
        <f ca="1">IFERROR(__xludf.DUMMYFUNCTION("""COMPUTED_VALUE"""),"Mobile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"&amp;"работа,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" s="4" t="str">
        <f ca="1">IFERROR(__xludf.DUMMYFUNCTION("""COMPUTED_VALUE"""),"Mobile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</v>
      </c>
      <c r="F34" s="5">
        <f ca="1">IFERROR(__xludf.DUMMYFUNCTION("""COMPUTED_VALUE"""),23850)</f>
        <v>23850</v>
      </c>
    </row>
    <row r="35" spans="1:6" ht="86.25" customHeight="1" x14ac:dyDescent="0.2">
      <c r="A35" s="4" t="str">
        <f ca="1">IFERROR(__xludf.DUMMYFUNCTION("""COMPUTED_VALUE"""),"«1С: Управление небольшой фирмой 1.6.19»")</f>
        <v>«1С: Управление небольшой фирмой 1.6.19»</v>
      </c>
      <c r="B35" s="4" t="str">
        <f ca="1">IFERROR(__xludf.DUMMYFUNCTION("""COMPUTED_VALUE"""),"с МОТП, БАЗОВЫЙ")</f>
        <v>с МОТП, БАЗОВЫЙ</v>
      </c>
      <c r="C35" s="4" t="str">
        <f ca="1">IFERROR(__xludf.DUMMYFUNCTION("""COMPUTED_VALUE"""),"RTL15AT-1CUNF16")</f>
        <v>RTL15AT-1CUNF16</v>
      </c>
      <c r="D35" s="4" t="str">
        <f ca="1">IFERROR(__xludf.DUMMYFUNCTION("""COMPUTED_VALUE"""),"Mobile SMARTS: Магазин 15 с МОТП, БАЗОВЫЙ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поступ"&amp;"ление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" s="4" t="str">
        <f ca="1">IFERROR(__xludf.DUMMYFUNCTION("""COMPUTED_VALUE"""),"Mobile SMARTS: Магазин 15 с МОТП, БАЗОВЫЙ для «1С: Управление небольшой фирмой 1.6.19», для работы с маркированным товаром: ТАБАК и товары по штрихкодам ")</f>
        <v xml:space="preserve">Mobile SMARTS: Магазин 15 с МОТП, БАЗОВЫЙ для «1С: Управление небольшой фирмой 1.6.19», для работы с маркированным товаром: ТАБАК и товары по штрихкодам </v>
      </c>
      <c r="F35" s="5">
        <f ca="1">IFERROR(__xludf.DUMMYFUNCTION("""COMPUTED_VALUE"""),11150)</f>
        <v>11150</v>
      </c>
    </row>
    <row r="36" spans="1:6" ht="86.25" customHeight="1" x14ac:dyDescent="0.2">
      <c r="A36" s="4" t="str">
        <f ca="1">IFERROR(__xludf.DUMMYFUNCTION("""COMPUTED_VALUE"""),"«1С: Управление небольшой фирмой 1.6.19»")</f>
        <v>«1С: Управление небольшой фирмой 1.6.19»</v>
      </c>
      <c r="B36" s="4" t="str">
        <f ca="1">IFERROR(__xludf.DUMMYFUNCTION("""COMPUTED_VALUE"""),"с МОТП, РАСШИРЕННЫЙ")</f>
        <v>с МОТП, РАСШИРЕННЫЙ</v>
      </c>
      <c r="C36" s="4" t="str">
        <f ca="1">IFERROR(__xludf.DUMMYFUNCTION("""COMPUTED_VALUE"""),"RTL15BT-1CUNF16")</f>
        <v>RTL15BT-1CUNF16</v>
      </c>
      <c r="D36" s="4" t="str">
        <f ca="1">IFERROR(__xludf.DUMMYFUNCTION("""COMPUTED_VALUE"""),"Mobile SMARTS: Магазин 15 с МОТП, РАСШИРЕННЫЙ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по"&amp;"ступление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и"&amp;"нформация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" s="4" t="str">
        <f ca="1">IFERROR(__xludf.DUMMYFUNCTION("""COMPUTED_VALUE"""),"Mobile SMARTS: Магазин 15 с МОТП, РАСШИРЕННЫЙ для «1С: Управление небольшой фирмой 1.6.19», для работы с маркированным товаром: ТАБАК и товары по штрихкодам ")</f>
        <v xml:space="preserve">Mobile SMARTS: Магазин 15 с МОТП, РАСШИРЕННЫЙ для «1С: Управление небольшой фирмой 1.6.19», для работы с маркированным товаром: ТАБАК и товары по штрихкодам </v>
      </c>
      <c r="F36" s="5">
        <f ca="1">IFERROR(__xludf.DUMMYFUNCTION("""COMPUTED_VALUE"""),17450)</f>
        <v>17450</v>
      </c>
    </row>
    <row r="37" spans="1:6" ht="86.25" customHeight="1" x14ac:dyDescent="0.2">
      <c r="A37" s="4" t="str">
        <f ca="1">IFERROR(__xludf.DUMMYFUNCTION("""COMPUTED_VALUE"""),"«1С: Управление небольшой фирмой 1.6.19»")</f>
        <v>«1С: Управление небольшой фирмой 1.6.19»</v>
      </c>
      <c r="B37" s="4" t="str">
        <f ca="1">IFERROR(__xludf.DUMMYFUNCTION("""COMPUTED_VALUE"""),"с МОТП, МЕГАМАРКЕТ")</f>
        <v>с МОТП, МЕГАМАРКЕТ</v>
      </c>
      <c r="C37" s="4" t="str">
        <f ca="1">IFERROR(__xludf.DUMMYFUNCTION("""COMPUTED_VALUE"""),"RTL15CT-1CUNF16")</f>
        <v>RTL15CT-1CUNF16</v>
      </c>
      <c r="D37" s="4" t="str">
        <f ca="1">IFERROR(__xludf.DUMMYFUNCTION("""COMPUTED_VALUE"""),"Mobile SMARTS: Магазин 15 с МОТП, МЕГАМАРКЕТ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пос"&amp;"тупление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ко"&amp;"ллективная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Mobile SMARTS: Магазин 15 с МОТП, МЕГАМАРКЕТ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" s="4" t="str">
        <f ca="1">IFERROR(__xludf.DUMMYFUNCTION("""COMPUTED_VALUE"""),"Mobile SMARTS: Магазин 15 с МОТП, МЕГАМАРКЕТ для «1С: Управление небольшой фирмой 1.6.19», для работы с маркированным товаром: ТАБАК и товары по штрихкодам ")</f>
        <v xml:space="preserve">Mobile SMARTS: Магазин 15 с МОТП, МЕГАМАРКЕТ для «1С: Управление небольшой фирмой 1.6.19», для работы с маркированным товаром: ТАБАК и товары по штрихкодам </v>
      </c>
      <c r="F37" s="5">
        <f ca="1">IFERROR(__xludf.DUMMYFUNCTION("""COMPUTED_VALUE"""),23850)</f>
        <v>23850</v>
      </c>
    </row>
    <row r="38" spans="1:6" ht="86.25" customHeight="1" x14ac:dyDescent="0.2">
      <c r="A38" s="4" t="str">
        <f ca="1">IFERROR(__xludf.DUMMYFUNCTION("""COMPUTED_VALUE"""),"«1С: Управление небольшой фирмой 1.6.19»")</f>
        <v>«1С: Управление небольшой фирмой 1.6.19»</v>
      </c>
      <c r="B38" s="4" t="str">
        <f ca="1">IFERROR(__xludf.DUMMYFUNCTION("""COMPUTED_VALUE"""),"с ЕГАИС и МОТП, БАЗОВЫЙ")</f>
        <v>с ЕГАИС и МОТП, БАЗОВЫЙ</v>
      </c>
      <c r="C38" s="4" t="str">
        <f ca="1">IFERROR(__xludf.DUMMYFUNCTION("""COMPUTED_VALUE"""),"RTL15AET-1CUNF16")</f>
        <v>RTL15AET-1CUNF16</v>
      </c>
      <c r="D38" s="4" t="str">
        <f ca="1">IFERROR(__xludf.DUMMYFUNCTION("""COMPUTED_VALUE"""),"Mobile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доступны"&amp;"е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опера"&amp;"ций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" s="4" t="str">
        <f ca="1">IFERROR(__xludf.DUMMYFUNCTION("""COMPUTED_VALUE"""),"Mobile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")</f>
        <v xml:space="preserve">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</v>
      </c>
      <c r="F38" s="5">
        <f ca="1">IFERROR(__xludf.DUMMYFUNCTION("""COMPUTED_VALUE"""),12150)</f>
        <v>12150</v>
      </c>
    </row>
    <row r="39" spans="1:6" ht="86.25" customHeight="1" x14ac:dyDescent="0.2">
      <c r="A39" s="4" t="str">
        <f ca="1">IFERROR(__xludf.DUMMYFUNCTION("""COMPUTED_VALUE"""),"«1С: Управление небольшой фирмой 1.6.19»")</f>
        <v>«1С: Управление небольшой фирмой 1.6.19»</v>
      </c>
      <c r="B39" s="4" t="str">
        <f ca="1">IFERROR(__xludf.DUMMYFUNCTION("""COMPUTED_VALUE"""),"с ЕГАИС и МОТП, РАСШИРЕННЫЙ")</f>
        <v>с ЕГАИС и МОТП, РАСШИРЕННЫЙ</v>
      </c>
      <c r="C39" s="4" t="str">
        <f ca="1">IFERROR(__xludf.DUMMYFUNCTION("""COMPUTED_VALUE"""),"RTL15BET-1CUNF16")</f>
        <v>RTL15BET-1CUNF16</v>
      </c>
      <c r="D39" s="4" t="str">
        <f ca="1">IFERROR(__xludf.DUMMYFUNCTION("""COMPUTED_VALUE"""),"Mobile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дост"&amp;"упные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перемещени"&amp;"е,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о"&amp;"пераций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" s="4" t="str">
        <f ca="1">IFERROR(__xludf.DUMMYFUNCTION("""COMPUTED_VALUE"""),"Mobile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")</f>
        <v xml:space="preserve">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</v>
      </c>
      <c r="F39" s="5">
        <f ca="1">IFERROR(__xludf.DUMMYFUNCTION("""COMPUTED_VALUE"""),18550)</f>
        <v>18550</v>
      </c>
    </row>
    <row r="40" spans="1:6" ht="86.25" customHeight="1" x14ac:dyDescent="0.2">
      <c r="A40" s="4" t="str">
        <f ca="1">IFERROR(__xludf.DUMMYFUNCTION("""COMPUTED_VALUE"""),"«1С: Управление небольшой фирмой 1.6.19»")</f>
        <v>«1С: Управление небольшой фирмой 1.6.19»</v>
      </c>
      <c r="B40" s="4" t="str">
        <f ca="1">IFERROR(__xludf.DUMMYFUNCTION("""COMPUTED_VALUE"""),"с ЕГАИС и МОТП, МЕГАМАРКЕТ")</f>
        <v>с ЕГАИС и МОТП, МЕГАМАРКЕТ</v>
      </c>
      <c r="C40" s="4" t="str">
        <f ca="1">IFERROR(__xludf.DUMMYFUNCTION("""COMPUTED_VALUE"""),"RTL15CET-1CUNF16")</f>
        <v>RTL15CET-1CUNF16</v>
      </c>
      <c r="D40" s="4" t="str">
        <f ca="1">IFERROR(__xludf.DUMMYFUNCTION("""COMPUTED_VALUE"""),"Mobile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досту"&amp;"пные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перемещение"&amp;",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" s="4" t="str">
        <f ca="1">IFERROR(__xludf.DUMMYFUNCTION("""COMPUTED_VALUE"""),"Mobile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")</f>
        <v xml:space="preserve">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</v>
      </c>
      <c r="F40" s="5">
        <f ca="1">IFERROR(__xludf.DUMMYFUNCTION("""COMPUTED_VALUE"""),26350)</f>
        <v>26350</v>
      </c>
    </row>
    <row r="41" spans="1:6" ht="86.25" customHeight="1" x14ac:dyDescent="0.2">
      <c r="A41" s="4" t="str">
        <f ca="1">IFERROR(__xludf.DUMMYFUNCTION("""COMPUTED_VALUE"""),"«1С: Управление небольшой фирмой 1.6.19»")</f>
        <v>«1С: Управление небольшой фирмой 1.6.19»</v>
      </c>
      <c r="B41" s="4" t="str">
        <f ca="1">IFERROR(__xludf.DUMMYFUNCTION("""COMPUTED_VALUE"""),"ШМОТКИ, БАЗОВЫЙ")</f>
        <v>ШМОТКИ, БАЗОВЫЙ</v>
      </c>
      <c r="C41" s="4" t="str">
        <f ca="1">IFERROR(__xludf.DUMMYFUNCTION("""COMPUTED_VALUE"""),"RTL15AK-1CUNF16")</f>
        <v>RTL15AK-1CUNF16</v>
      </c>
      <c r="D41" s="4" t="str">
        <f ca="1">IFERROR(__xludf.DUMMYFUNCTION("""COMPUTED_VALUE"""),"Mobile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дост"&amp;"упные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QR-кодо"&amp;"в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Интерне"&amp;"т на 1 (один) год")</f>
        <v>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" s="4" t="str">
        <f ca="1">IFERROR(__xludf.DUMMYFUNCTION("""COMPUTED_VALUE"""),"Mobile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")</f>
        <v xml:space="preserve">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</v>
      </c>
      <c r="F41" s="5">
        <f ca="1">IFERROR(__xludf.DUMMYFUNCTION("""COMPUTED_VALUE"""),12150)</f>
        <v>12150</v>
      </c>
    </row>
    <row r="42" spans="1:6" ht="86.25" customHeight="1" x14ac:dyDescent="0.2">
      <c r="A42" s="4" t="str">
        <f ca="1">IFERROR(__xludf.DUMMYFUNCTION("""COMPUTED_VALUE"""),"«1С: Управление небольшой фирмой 1.6.19»")</f>
        <v>«1С: Управление небольшой фирмой 1.6.19»</v>
      </c>
      <c r="B42" s="4" t="str">
        <f ca="1">IFERROR(__xludf.DUMMYFUNCTION("""COMPUTED_VALUE"""),"ШМОТКИ, РАСШИРЕННЫЙ")</f>
        <v>ШМОТКИ, РАСШИРЕННЫЙ</v>
      </c>
      <c r="C42" s="4" t="str">
        <f ca="1">IFERROR(__xludf.DUMMYFUNCTION("""COMPUTED_VALUE"""),"RTL15BK-1CUNF16")</f>
        <v>RTL15BK-1CUNF16</v>
      </c>
      <c r="D42" s="4" t="str">
        <f ca="1">IFERROR(__xludf.DUMMYFUNCTION("""COMPUTED_VALUE"""),"Mobile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"&amp;"доступные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QR-"&amp;"кодов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" s="4" t="str">
        <f ca="1">IFERROR(__xludf.DUMMYFUNCTION("""COMPUTED_VALUE"""),"Mobile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</v>
      </c>
      <c r="F42" s="5">
        <f ca="1">IFERROR(__xludf.DUMMYFUNCTION("""COMPUTED_VALUE"""),18550)</f>
        <v>18550</v>
      </c>
    </row>
    <row r="43" spans="1:6" ht="86.25" customHeight="1" x14ac:dyDescent="0.2">
      <c r="A43" s="4" t="str">
        <f ca="1">IFERROR(__xludf.DUMMYFUNCTION("""COMPUTED_VALUE"""),"«1С: Управление небольшой фирмой 1.6.19»")</f>
        <v>«1С: Управление небольшой фирмой 1.6.19»</v>
      </c>
      <c r="B43" s="4" t="str">
        <f ca="1">IFERROR(__xludf.DUMMYFUNCTION("""COMPUTED_VALUE"""),"ШМОТКИ, МЕГАМАРКЕТ")</f>
        <v>ШМОТКИ, МЕГАМАРКЕТ</v>
      </c>
      <c r="C43" s="4" t="str">
        <f ca="1">IFERROR(__xludf.DUMMYFUNCTION("""COMPUTED_VALUE"""),"RTL15CK-1CUNF16")</f>
        <v>RTL15CK-1CUNF16</v>
      </c>
      <c r="D43" s="4" t="str">
        <f ca="1">IFERROR(__xludf.DUMMYFUNCTION("""COMPUTED_VALUE"""),"Mobile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д"&amp;"оступные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QR-к"&amp;"одов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" s="4" t="str">
        <f ca="1">IFERROR(__xludf.DUMMYFUNCTION("""COMPUTED_VALUE"""),"Mobile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</v>
      </c>
      <c r="F43" s="5">
        <f ca="1">IFERROR(__xludf.DUMMYFUNCTION("""COMPUTED_VALUE"""),26350)</f>
        <v>26350</v>
      </c>
    </row>
    <row r="44" spans="1:6" ht="86.25" customHeight="1" x14ac:dyDescent="0.2">
      <c r="A44" s="4" t="str">
        <f ca="1">IFERROR(__xludf.DUMMYFUNCTION("""COMPUTED_VALUE"""),"«1С: Управление небольшой фирмой 1.6.19»")</f>
        <v>«1С: Управление небольшой фирмой 1.6.19»</v>
      </c>
      <c r="B44" s="4" t="str">
        <f ca="1">IFERROR(__xludf.DUMMYFUNCTION("""COMPUTED_VALUE"""),"ПРОДУКТОВЫЙ, БАЗОВЫЙ")</f>
        <v>ПРОДУКТОВЫЙ, БАЗОВЫЙ</v>
      </c>
      <c r="C44" s="4" t="str">
        <f ca="1">IFERROR(__xludf.DUMMYFUNCTION("""COMPUTED_VALUE"""),"RTL15AG-1CUNF16")</f>
        <v>RTL15AG-1CUNF16</v>
      </c>
      <c r="D44" s="4" t="str">
        <f ca="1">IFERROR(__xludf.DUMMYFUNCTION("""COMPUTED_VALUE"""),"Mobile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"&amp;"обмен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з"&amp;"аказа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" s="4" t="str">
        <f ca="1">IFERROR(__xludf.DUMMYFUNCTION("""COMPUTED_VALUE"""),"Mobile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</v>
      </c>
      <c r="F44" s="5">
        <f ca="1">IFERROR(__xludf.DUMMYFUNCTION("""COMPUTED_VALUE"""),14550)</f>
        <v>14550</v>
      </c>
    </row>
    <row r="45" spans="1:6" ht="86.25" customHeight="1" x14ac:dyDescent="0.2">
      <c r="A45" s="4" t="str">
        <f ca="1">IFERROR(__xludf.DUMMYFUNCTION("""COMPUTED_VALUE"""),"«1С: Управление небольшой фирмой 1.6.19»")</f>
        <v>«1С: Управление небольшой фирмой 1.6.19»</v>
      </c>
      <c r="B45" s="4" t="str">
        <f ca="1">IFERROR(__xludf.DUMMYFUNCTION("""COMPUTED_VALUE"""),"ПРОДУКТОВЫЙ, РАСШИРЕННЫЙ")</f>
        <v>ПРОДУКТОВЫЙ, РАСШИРЕННЫЙ</v>
      </c>
      <c r="C45" s="4" t="str">
        <f ca="1">IFERROR(__xludf.DUMMYFUNCTION("""COMPUTED_VALUE"""),"RTL15BG-1CUNF16")</f>
        <v>RTL15BG-1CUNF16</v>
      </c>
      <c r="D45" s="4" t="str">
        <f ca="1">IFERROR(__xludf.DUMMYFUNCTION("""COMPUTED_VALUE"""),"Mobile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"&amp;"или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подб"&amp;"ор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" s="4" t="str">
        <f ca="1">IFERROR(__xludf.DUMMYFUNCTION("""COMPUTED_VALUE"""),"Mobile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</v>
      </c>
      <c r="F45" s="5">
        <f ca="1">IFERROR(__xludf.DUMMYFUNCTION("""COMPUTED_VALUE"""),20950)</f>
        <v>20950</v>
      </c>
    </row>
    <row r="46" spans="1:6" ht="86.25" customHeight="1" x14ac:dyDescent="0.2">
      <c r="A46" s="4" t="str">
        <f ca="1">IFERROR(__xludf.DUMMYFUNCTION("""COMPUTED_VALUE"""),"«1С: Управление небольшой фирмой 1.6.19»")</f>
        <v>«1С: Управление небольшой фирмой 1.6.19»</v>
      </c>
      <c r="B46" s="4" t="str">
        <f ca="1">IFERROR(__xludf.DUMMYFUNCTION("""COMPUTED_VALUE"""),"ПРОДУКТОВЫЙ, МЕГАМАРКЕТ")</f>
        <v>ПРОДУКТОВЫЙ, МЕГАМАРКЕТ</v>
      </c>
      <c r="C46" s="4" t="str">
        <f ca="1">IFERROR(__xludf.DUMMYFUNCTION("""COMPUTED_VALUE"""),"RTL15CG-1CUNF16")</f>
        <v>RTL15CG-1CUNF16</v>
      </c>
      <c r="D46" s="4" t="str">
        <f ca="1">IFERROR(__xludf.DUMMYFUNCTION("""COMPUTED_VALUE"""),"Mobile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и"&amp;"ли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подбо"&amp;"р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" s="4" t="str">
        <f ca="1">IFERROR(__xludf.DUMMYFUNCTION("""COMPUTED_VALUE"""),"Mobile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</v>
      </c>
      <c r="F46" s="5">
        <f ca="1">IFERROR(__xludf.DUMMYFUNCTION("""COMPUTED_VALUE"""),28250)</f>
        <v>28250</v>
      </c>
    </row>
    <row r="47" spans="1:6" ht="86.25" customHeight="1" x14ac:dyDescent="0.2">
      <c r="A47" s="4" t="str">
        <f ca="1">IFERROR(__xludf.DUMMYFUNCTION("""COMPUTED_VALUE"""),"«1С: ERP Управление предприятием 2.2»")</f>
        <v>«1С: ERP Управление предприятием 2.2»</v>
      </c>
      <c r="B47" s="4" t="str">
        <f ca="1">IFERROR(__xludf.DUMMYFUNCTION("""COMPUTED_VALUE"""),"МИНИМУМ")</f>
        <v>МИНИМУМ</v>
      </c>
      <c r="C47" s="4" t="str">
        <f ca="1">IFERROR(__xludf.DUMMYFUNCTION("""COMPUTED_VALUE"""),"RTL15M-1CERP22")</f>
        <v>RTL15M-1CERP22</v>
      </c>
      <c r="D47" s="4" t="str">
        <f ca="1">IFERROR(__xludf.DUMMYFUNCTION("""COMPUTED_VALUE"""),"Mobile SMARTS: Магазин 15, МИНИМУМ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това"&amp;"ров,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("&amp;"один) год")</f>
        <v>Mobile SMARTS: Магазин 15, МИНИМУМ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7" s="4" t="str">
        <f ca="1">IFERROR(__xludf.DUMMYFUNCTION("""COMPUTED_VALUE"""),"Mobile SMARTS: Магазин 15, МИНИМУМ для «1С: ERP Управление предприятием 2.2», для работы с товаром по штрихкодам ")</f>
        <v xml:space="preserve">Mobile SMARTS: Магазин 15, МИНИМУМ для «1С: ERP Управление предприятием 2.2», для работы с товаром по штрихкодам </v>
      </c>
      <c r="F47" s="5">
        <f ca="1">IFERROR(__xludf.DUMMYFUNCTION("""COMPUTED_VALUE"""),3450)</f>
        <v>3450</v>
      </c>
    </row>
    <row r="48" spans="1:6" ht="86.25" customHeight="1" x14ac:dyDescent="0.2">
      <c r="A48" s="4" t="str">
        <f ca="1">IFERROR(__xludf.DUMMYFUNCTION("""COMPUTED_VALUE"""),"«1С: ERP Управление предприятием 2.2»")</f>
        <v>«1С: ERP Управление предприятием 2.2»</v>
      </c>
      <c r="B48" s="4" t="str">
        <f ca="1">IFERROR(__xludf.DUMMYFUNCTION("""COMPUTED_VALUE"""),"БАЗОВЫЙ")</f>
        <v>БАЗОВЫЙ</v>
      </c>
      <c r="C48" s="4" t="str">
        <f ca="1">IFERROR(__xludf.DUMMYFUNCTION("""COMPUTED_VALUE"""),"RTL15A-1CERP22")</f>
        <v>RTL15A-1CERP22</v>
      </c>
      <c r="D48" s="4" t="str">
        <f ca="1">IFERROR(__xludf.DUMMYFUNCTION("""COMPUTED_VALUE"""),"Mobile SMARTS: Магазин 15, БАЗОВЫЙ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т.ч"&amp;".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" s="4" t="str">
        <f ca="1">IFERROR(__xludf.DUMMYFUNCTION("""COMPUTED_VALUE"""),"Mobile SMARTS: Магазин 15, БАЗОВЫЙ для «1С: ERP Управление предприятием 2.2», для работы с товаром по штрихкодам ")</f>
        <v xml:space="preserve">Mobile SMARTS: Магазин 15, БАЗОВЫЙ для «1С: ERP Управление предприятием 2.2», для работы с товаром по штрихкодам </v>
      </c>
      <c r="F48" s="5">
        <f ca="1">IFERROR(__xludf.DUMMYFUNCTION("""COMPUTED_VALUE"""),8650)</f>
        <v>8650</v>
      </c>
    </row>
    <row r="49" spans="1:6" ht="86.25" customHeight="1" x14ac:dyDescent="0.2">
      <c r="A49" s="4" t="str">
        <f ca="1">IFERROR(__xludf.DUMMYFUNCTION("""COMPUTED_VALUE"""),"«1С: ERP Управление предприятием 2.2»")</f>
        <v>«1С: ERP Управление предприятием 2.2»</v>
      </c>
      <c r="B49" s="4" t="str">
        <f ca="1">IFERROR(__xludf.DUMMYFUNCTION("""COMPUTED_VALUE"""),"РАСШИРЕННЫЙ")</f>
        <v>РАСШИРЕННЫЙ</v>
      </c>
      <c r="C49" s="4" t="str">
        <f ca="1">IFERROR(__xludf.DUMMYFUNCTION("""COMPUTED_VALUE"""),"RTL15B-1CERP22")</f>
        <v>RTL15B-1CERP22</v>
      </c>
      <c r="D49" s="4" t="str">
        <f ca="1">IFERROR(__xludf.DUMMYFUNCTION("""COMPUTED_VALUE"""),"Mobile SMARTS: Магазин 15, РАСШИРЕННЫЙ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(в"&amp;"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су"&amp;"ществующих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" s="4" t="str">
        <f ca="1">IFERROR(__xludf.DUMMYFUNCTION("""COMPUTED_VALUE"""),"Mobile SMARTS: Магазин 15, РАСШИРЕННЫЙ для «1С: ERP Управление предприятием 2.2», для работы с товаром по штрихкодам ")</f>
        <v xml:space="preserve">Mobile SMARTS: Магазин 15, РАСШИРЕННЫЙ для «1С: ERP Управление предприятием 2.2», для работы с товаром по штрихкодам </v>
      </c>
      <c r="F49" s="5">
        <f ca="1">IFERROR(__xludf.DUMMYFUNCTION("""COMPUTED_VALUE"""),15050)</f>
        <v>15050</v>
      </c>
    </row>
    <row r="50" spans="1:6" ht="86.25" customHeight="1" x14ac:dyDescent="0.2">
      <c r="A50" s="4" t="str">
        <f ca="1">IFERROR(__xludf.DUMMYFUNCTION("""COMPUTED_VALUE"""),"«1С: ERP Управление предприятием 2.2»")</f>
        <v>«1С: ERP Управление предприятием 2.2»</v>
      </c>
      <c r="B50" s="4" t="str">
        <f ca="1">IFERROR(__xludf.DUMMYFUNCTION("""COMPUTED_VALUE"""),"МЕГАМАРКЕТ")</f>
        <v>МЕГАМАРКЕТ</v>
      </c>
      <c r="C50" s="4" t="str">
        <f ca="1">IFERROR(__xludf.DUMMYFUNCTION("""COMPUTED_VALUE"""),"RTL15C-1CERP22")</f>
        <v>RTL15C-1CERP22</v>
      </c>
      <c r="D50" s="4" t="str">
        <f ca="1">IFERROR(__xludf.DUMMYFUNCTION("""COMPUTED_VALUE"""),"Mobile SMARTS: Магазин 15, МЕГАМАРКЕТ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"&amp;"т.ч.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" s="4" t="str">
        <f ca="1">IFERROR(__xludf.DUMMYFUNCTION("""COMPUTED_VALUE"""),"Mobile SMARTS: Магазин 15, МЕГАМАРКЕТ для «1С: ERP Управление предприятием 2.2», для работы с товаром по штрихкодам ")</f>
        <v xml:space="preserve">Mobile SMARTS: Магазин 15, МЕГАМАРКЕТ для «1С: ERP Управление предприятием 2.2», для работы с товаром по штрихкодам </v>
      </c>
      <c r="F50" s="5">
        <f ca="1">IFERROR(__xludf.DUMMYFUNCTION("""COMPUTED_VALUE"""),21550)</f>
        <v>21550</v>
      </c>
    </row>
    <row r="51" spans="1:6" ht="86.25" customHeight="1" x14ac:dyDescent="0.2">
      <c r="A51" s="4" t="str">
        <f ca="1">IFERROR(__xludf.DUMMYFUNCTION("""COMPUTED_VALUE"""),"«1С: ERP Управление предприятием 2.2»")</f>
        <v>«1С: ERP Управление предприятием 2.2»</v>
      </c>
      <c r="B51" s="4" t="str">
        <f ca="1">IFERROR(__xludf.DUMMYFUNCTION("""COMPUTED_VALUE"""),"с ЕГАИС, БАЗОВЫЙ")</f>
        <v>с ЕГАИС, БАЗОВЫЙ</v>
      </c>
      <c r="C51" s="4" t="str">
        <f ca="1">IFERROR(__xludf.DUMMYFUNCTION("""COMPUTED_VALUE"""),"RTL15AE-1CERP22")</f>
        <v>RTL15AE-1CERP22</v>
      </c>
      <c r="D51" s="4" t="str">
        <f ca="1">IFERROR(__xludf.DUMMYFUNCTION("""COMPUTED_VALUE"""),"Mobile SMARTS: Магазин 15 с ЕГАИС, БАЗОВЫЙ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операции:"&amp;"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инфо"&amp;"рмация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1" s="4" t="str">
        <f ca="1">IFERROR(__xludf.DUMMYFUNCTION("""COMPUTED_VALUE"""),"Mobile SMARTS: Магазин 15 с ЕГАИС, БАЗОВЫЙ для «1С: ERP Управление предприятием 2.2», для работы с маркированным товаром: алкоголь ЕГАИС и товары по штрихкодам ")</f>
        <v xml:space="preserve">Mobile SMARTS: Магазин 15 с ЕГАИС, БАЗОВЫЙ для «1С: ERP Управление предприятием 2.2», для работы с маркированным товаром: алкоголь ЕГАИС и товары по штрихкодам </v>
      </c>
      <c r="F51" s="5">
        <f ca="1">IFERROR(__xludf.DUMMYFUNCTION("""COMPUTED_VALUE"""),11000)</f>
        <v>11000</v>
      </c>
    </row>
    <row r="52" spans="1:6" ht="86.25" customHeight="1" x14ac:dyDescent="0.2">
      <c r="A52" s="4" t="str">
        <f ca="1">IFERROR(__xludf.DUMMYFUNCTION("""COMPUTED_VALUE"""),"«1С: ERP Управление предприятием 2.2»")</f>
        <v>«1С: ERP Управление предприятием 2.2»</v>
      </c>
      <c r="B52" s="4" t="str">
        <f ca="1">IFERROR(__xludf.DUMMYFUNCTION("""COMPUTED_VALUE"""),"с ЕГАИС, РАСШИРЕННЫЙ")</f>
        <v>с ЕГАИС, РАСШИРЕННЫЙ</v>
      </c>
      <c r="C52" s="4" t="str">
        <f ca="1">IFERROR(__xludf.DUMMYFUNCTION("""COMPUTED_VALUE"""),"RTL15BE-1CERP22")</f>
        <v>RTL15BE-1CERP22</v>
      </c>
      <c r="D52" s="4" t="str">
        <f ca="1">IFERROR(__xludf.DUMMYFUNCTION("""COMPUTED_VALUE"""),"Mobile SMARTS: Магазин 15 с ЕГАИС, РАСШИРЕННЫЙ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опера"&amp;"ции: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2" s="4" t="str">
        <f ca="1">IFERROR(__xludf.DUMMYFUNCTION("""COMPUTED_VALUE"""),"Mobile SMARTS: Магазин 15 с ЕГАИС, РАСШИРЕННЫЙ для «1С: ERP Управление предприятием 2.2», для работы с маркированным товаром: алкоголь ЕГАИС и товары по штрихкодам ")</f>
        <v xml:space="preserve">Mobile SMARTS: Магазин 15 с ЕГАИС, РАСШИРЕННЫЙ для «1С: ERP Управление предприятием 2.2», для работы с маркированным товаром: алкоголь ЕГАИС и товары по штрихкодам </v>
      </c>
      <c r="F52" s="5">
        <f ca="1">IFERROR(__xludf.DUMMYFUNCTION("""COMPUTED_VALUE"""),17450)</f>
        <v>17450</v>
      </c>
    </row>
    <row r="53" spans="1:6" ht="86.25" customHeight="1" x14ac:dyDescent="0.2">
      <c r="A53" s="4" t="str">
        <f ca="1">IFERROR(__xludf.DUMMYFUNCTION("""COMPUTED_VALUE"""),"«1С: ERP Управление предприятием 2.2»")</f>
        <v>«1С: ERP Управление предприятием 2.2»</v>
      </c>
      <c r="B53" s="4" t="str">
        <f ca="1">IFERROR(__xludf.DUMMYFUNCTION("""COMPUTED_VALUE"""),"с ЕГАИС (без CheckMark2), МЕГАМАРКЕТ")</f>
        <v>с ЕГАИС (без CheckMark2), МЕГАМАРКЕТ</v>
      </c>
      <c r="C53" s="4" t="str">
        <f ca="1">IFERROR(__xludf.DUMMYFUNCTION("""COMPUTED_VALUE"""),"RTL15CEV-1CERP22")</f>
        <v>RTL15CEV-1CERP22</v>
      </c>
      <c r="D53" s="4" t="str">
        <f ca="1">IFERROR(__xludf.DUMMYFUNCTION("""COMPUTED_VALUE"""),"Mobile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"&amp;"работа,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" s="4" t="str">
        <f ca="1">IFERROR(__xludf.DUMMYFUNCTION("""COMPUTED_VALUE"""),"Mobile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</v>
      </c>
      <c r="F53" s="5">
        <f ca="1">IFERROR(__xludf.DUMMYFUNCTION("""COMPUTED_VALUE"""),23850)</f>
        <v>23850</v>
      </c>
    </row>
    <row r="54" spans="1:6" ht="86.25" customHeight="1" x14ac:dyDescent="0.2">
      <c r="A54" s="4" t="str">
        <f ca="1">IFERROR(__xludf.DUMMYFUNCTION("""COMPUTED_VALUE"""),"«1С: ERP Управление предприятием 2.4»")</f>
        <v>«1С: ERP Управление предприятием 2.4»</v>
      </c>
      <c r="B54" s="4" t="str">
        <f ca="1">IFERROR(__xludf.DUMMYFUNCTION("""COMPUTED_VALUE"""),"МИНИМУМ")</f>
        <v>МИНИМУМ</v>
      </c>
      <c r="C54" s="4" t="str">
        <f ca="1">IFERROR(__xludf.DUMMYFUNCTION("""COMPUTED_VALUE"""),"RTL15M-1CERP24")</f>
        <v>RTL15M-1CERP24</v>
      </c>
      <c r="D54" s="4" t="str">
        <f ca="1">IFERROR(__xludf.DUMMYFUNCTION("""COMPUTED_VALUE"""),"Mobile SMARTS: Магазин 15, МИНИМУМ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това"&amp;"ров,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("&amp;"один) год")</f>
        <v>Mobile SMARTS: Магазин 15, МИНИМУМ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4" s="4" t="str">
        <f ca="1">IFERROR(__xludf.DUMMYFUNCTION("""COMPUTED_VALUE"""),"Mobile SMARTS: Магазин 15, МИНИМУМ для «1С: ERP Управление предприятием 2.4», для работы с товаром по штрихкодам ")</f>
        <v xml:space="preserve">Mobile SMARTS: Магазин 15, МИНИМУМ для «1С: ERP Управление предприятием 2.4», для работы с товаром по штрихкодам </v>
      </c>
      <c r="F54" s="5">
        <f ca="1">IFERROR(__xludf.DUMMYFUNCTION("""COMPUTED_VALUE"""),3450)</f>
        <v>3450</v>
      </c>
    </row>
    <row r="55" spans="1:6" ht="86.25" customHeight="1" x14ac:dyDescent="0.2">
      <c r="A55" s="4" t="str">
        <f ca="1">IFERROR(__xludf.DUMMYFUNCTION("""COMPUTED_VALUE"""),"«1С: ERP Управление предприятием 2.4»")</f>
        <v>«1С: ERP Управление предприятием 2.4»</v>
      </c>
      <c r="B55" s="4" t="str">
        <f ca="1">IFERROR(__xludf.DUMMYFUNCTION("""COMPUTED_VALUE"""),"БАЗОВЫЙ")</f>
        <v>БАЗОВЫЙ</v>
      </c>
      <c r="C55" s="4" t="str">
        <f ca="1">IFERROR(__xludf.DUMMYFUNCTION("""COMPUTED_VALUE"""),"RTL15A-1CERP24")</f>
        <v>RTL15A-1CERP24</v>
      </c>
      <c r="D55" s="4" t="str">
        <f ca="1">IFERROR(__xludf.DUMMYFUNCTION("""COMPUTED_VALUE"""),"Mobile SMARTS: Магазин 15, БАЗОВЫЙ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т.ч"&amp;".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5" s="4" t="str">
        <f ca="1">IFERROR(__xludf.DUMMYFUNCTION("""COMPUTED_VALUE"""),"Mobile SMARTS: Магазин 15, БАЗОВЫЙ для «1С: ERP Управление предприятием 2.4», для работы с товаром по штрихкодам ")</f>
        <v xml:space="preserve">Mobile SMARTS: Магазин 15, БАЗОВЫЙ для «1С: ERP Управление предприятием 2.4», для работы с товаром по штрихкодам </v>
      </c>
      <c r="F55" s="5">
        <f ca="1">IFERROR(__xludf.DUMMYFUNCTION("""COMPUTED_VALUE"""),8650)</f>
        <v>8650</v>
      </c>
    </row>
    <row r="56" spans="1:6" ht="86.25" customHeight="1" x14ac:dyDescent="0.2">
      <c r="A56" s="4" t="str">
        <f ca="1">IFERROR(__xludf.DUMMYFUNCTION("""COMPUTED_VALUE"""),"«1С: ERP Управление предприятием 2.4»")</f>
        <v>«1С: ERP Управление предприятием 2.4»</v>
      </c>
      <c r="B56" s="4" t="str">
        <f ca="1">IFERROR(__xludf.DUMMYFUNCTION("""COMPUTED_VALUE"""),"РАСШИРЕННЫЙ")</f>
        <v>РАСШИРЕННЫЙ</v>
      </c>
      <c r="C56" s="4" t="str">
        <f ca="1">IFERROR(__xludf.DUMMYFUNCTION("""COMPUTED_VALUE"""),"RTL15B-1CERP24")</f>
        <v>RTL15B-1CERP24</v>
      </c>
      <c r="D56" s="4" t="str">
        <f ca="1">IFERROR(__xludf.DUMMYFUNCTION("""COMPUTED_VALUE"""),"Mobile SMARTS: Магазин 15, РАСШИРЕННЫЙ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(в"&amp;"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су"&amp;"ществующих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" s="4" t="str">
        <f ca="1">IFERROR(__xludf.DUMMYFUNCTION("""COMPUTED_VALUE"""),"Mobile SMARTS: Магазин 15, РАСШИРЕННЫЙ для «1С: ERP Управление предприятием 2.4», для работы с товаром по штрихкодам ")</f>
        <v xml:space="preserve">Mobile SMARTS: Магазин 15, РАСШИРЕННЫЙ для «1С: ERP Управление предприятием 2.4», для работы с товаром по штрихкодам </v>
      </c>
      <c r="F56" s="5">
        <f ca="1">IFERROR(__xludf.DUMMYFUNCTION("""COMPUTED_VALUE"""),15050)</f>
        <v>15050</v>
      </c>
    </row>
    <row r="57" spans="1:6" ht="86.25" customHeight="1" x14ac:dyDescent="0.2">
      <c r="A57" s="4" t="str">
        <f ca="1">IFERROR(__xludf.DUMMYFUNCTION("""COMPUTED_VALUE"""),"«1С: ERP Управление предприятием 2.4»")</f>
        <v>«1С: ERP Управление предприятием 2.4»</v>
      </c>
      <c r="B57" s="4" t="str">
        <f ca="1">IFERROR(__xludf.DUMMYFUNCTION("""COMPUTED_VALUE"""),"МЕГАМАРКЕТ")</f>
        <v>МЕГАМАРКЕТ</v>
      </c>
      <c r="C57" s="4" t="str">
        <f ca="1">IFERROR(__xludf.DUMMYFUNCTION("""COMPUTED_VALUE"""),"RTL15C-1CERP24")</f>
        <v>RTL15C-1CERP24</v>
      </c>
      <c r="D57" s="4" t="str">
        <f ca="1">IFERROR(__xludf.DUMMYFUNCTION("""COMPUTED_VALUE"""),"Mobile SMARTS: Магазин 15, МЕГАМАРКЕТ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"&amp;"т.ч.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" s="4" t="str">
        <f ca="1">IFERROR(__xludf.DUMMYFUNCTION("""COMPUTED_VALUE"""),"Mobile SMARTS: Магазин 15, МЕГАМАРКЕТ для «1С: ERP Управление предприятием 2.4», для работы с товаром по штрихкодам ")</f>
        <v xml:space="preserve">Mobile SMARTS: Магазин 15, МЕГАМАРКЕТ для «1С: ERP Управление предприятием 2.4», для работы с товаром по штрихкодам </v>
      </c>
      <c r="F57" s="5">
        <f ca="1">IFERROR(__xludf.DUMMYFUNCTION("""COMPUTED_VALUE"""),21550)</f>
        <v>21550</v>
      </c>
    </row>
    <row r="58" spans="1:6" ht="86.25" customHeight="1" x14ac:dyDescent="0.2">
      <c r="A58" s="4" t="str">
        <f ca="1">IFERROR(__xludf.DUMMYFUNCTION("""COMPUTED_VALUE"""),"«1С: ERP Управление предприятием 2.4»")</f>
        <v>«1С: ERP Управление предприятием 2.4»</v>
      </c>
      <c r="B58" s="4" t="str">
        <f ca="1">IFERROR(__xludf.DUMMYFUNCTION("""COMPUTED_VALUE"""),"с ЕГАИС, БАЗОВЫЙ")</f>
        <v>с ЕГАИС, БАЗОВЫЙ</v>
      </c>
      <c r="C58" s="4" t="str">
        <f ca="1">IFERROR(__xludf.DUMMYFUNCTION("""COMPUTED_VALUE"""),"RTL15AE-1CERP24")</f>
        <v>RTL15AE-1CERP24</v>
      </c>
      <c r="D58" s="4" t="str">
        <f ca="1">IFERROR(__xludf.DUMMYFUNCTION("""COMPUTED_VALUE"""),"Mobile SMARTS: Магазин 15 с ЕГАИС, БАЗОВЫЙ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операции:"&amp;"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инфо"&amp;"рмация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8" s="4" t="str">
        <f ca="1">IFERROR(__xludf.DUMMYFUNCTION("""COMPUTED_VALUE"""),"Mobile SMARTS: Магазин 15 с ЕГАИС, БАЗОВЫЙ для «1С: ERP Управление предприятием 2.4», для работы с маркированным товаром: алкоголь ЕГАИС и товары по штрихкодам ")</f>
        <v xml:space="preserve">Mobile SMARTS: Магазин 15 с ЕГАИС, БАЗОВЫЙ для «1С: ERP Управление предприятием 2.4», для работы с маркированным товаром: алкоголь ЕГАИС и товары по штрихкодам </v>
      </c>
      <c r="F58" s="5">
        <f ca="1">IFERROR(__xludf.DUMMYFUNCTION("""COMPUTED_VALUE"""),11000)</f>
        <v>11000</v>
      </c>
    </row>
    <row r="59" spans="1:6" ht="86.25" customHeight="1" x14ac:dyDescent="0.2">
      <c r="A59" s="4" t="str">
        <f ca="1">IFERROR(__xludf.DUMMYFUNCTION("""COMPUTED_VALUE"""),"«1С: ERP Управление предприятием 2.4»")</f>
        <v>«1С: ERP Управление предприятием 2.4»</v>
      </c>
      <c r="B59" s="4" t="str">
        <f ca="1">IFERROR(__xludf.DUMMYFUNCTION("""COMPUTED_VALUE"""),"с ЕГАИС, РАСШИРЕННЫЙ")</f>
        <v>с ЕГАИС, РАСШИРЕННЫЙ</v>
      </c>
      <c r="C59" s="4" t="str">
        <f ca="1">IFERROR(__xludf.DUMMYFUNCTION("""COMPUTED_VALUE"""),"RTL15BE-1CERP24")</f>
        <v>RTL15BE-1CERP24</v>
      </c>
      <c r="D59" s="4" t="str">
        <f ca="1">IFERROR(__xludf.DUMMYFUNCTION("""COMPUTED_VALUE"""),"Mobile SMARTS: Магазин 15 с ЕГАИС, РАСШИРЕННЫЙ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опера"&amp;"ции: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" s="4" t="str">
        <f ca="1">IFERROR(__xludf.DUMMYFUNCTION("""COMPUTED_VALUE"""),"Mobile SMARTS: Магазин 15 с ЕГАИС, РАСШИРЕННЫЙ для «1С: ERP Управление предприятием 2.4», для работы с маркированным товаром: алкоголь ЕГАИС и товары по штрихкодам ")</f>
        <v xml:space="preserve">Mobile SMARTS: Магазин 15 с ЕГАИС, РАСШИРЕННЫЙ для «1С: ERP Управление предприятием 2.4», для работы с маркированным товаром: алкоголь ЕГАИС и товары по штрихкодам </v>
      </c>
      <c r="F59" s="5">
        <f ca="1">IFERROR(__xludf.DUMMYFUNCTION("""COMPUTED_VALUE"""),17450)</f>
        <v>17450</v>
      </c>
    </row>
    <row r="60" spans="1:6" ht="86.25" customHeight="1" x14ac:dyDescent="0.2">
      <c r="A60" s="4" t="str">
        <f ca="1">IFERROR(__xludf.DUMMYFUNCTION("""COMPUTED_VALUE"""),"«1С: ERP Управление предприятием 2.4»")</f>
        <v>«1С: ERP Управление предприятием 2.4»</v>
      </c>
      <c r="B60" s="4" t="str">
        <f ca="1">IFERROR(__xludf.DUMMYFUNCTION("""COMPUTED_VALUE"""),"с ЕГАИС (без CheckMark2), МЕГАМАРКЕТ")</f>
        <v>с ЕГАИС (без CheckMark2), МЕГАМАРКЕТ</v>
      </c>
      <c r="C60" s="4" t="str">
        <f ca="1">IFERROR(__xludf.DUMMYFUNCTION("""COMPUTED_VALUE"""),"RTL15CEV-1CERP24")</f>
        <v>RTL15CEV-1CERP24</v>
      </c>
      <c r="D60" s="4" t="str">
        <f ca="1">IFERROR(__xludf.DUMMYFUNCTION("""COMPUTED_VALUE"""),"Mobile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"&amp;"работа,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" s="4" t="str">
        <f ca="1">IFERROR(__xludf.DUMMYFUNCTION("""COMPUTED_VALUE"""),"Mobile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</v>
      </c>
      <c r="F60" s="5">
        <f ca="1">IFERROR(__xludf.DUMMYFUNCTION("""COMPUTED_VALUE"""),23850)</f>
        <v>23850</v>
      </c>
    </row>
    <row r="61" spans="1:6" ht="86.25" customHeight="1" x14ac:dyDescent="0.2">
      <c r="A61" s="4" t="str">
        <f ca="1">IFERROR(__xludf.DUMMYFUNCTION("""COMPUTED_VALUE"""),"«1С: ERP Управление предприятием 2.4.11»")</f>
        <v>«1С: ERP Управление предприятием 2.4.11»</v>
      </c>
      <c r="B61" s="4" t="str">
        <f ca="1">IFERROR(__xludf.DUMMYFUNCTION("""COMPUTED_VALUE"""),"с МОТП, БАЗОВЫЙ")</f>
        <v>с МОТП, БАЗОВЫЙ</v>
      </c>
      <c r="C61" s="4" t="str">
        <f ca="1">IFERROR(__xludf.DUMMYFUNCTION("""COMPUTED_VALUE"""),"RTL15AT-1CERP24")</f>
        <v>RTL15AT-1CERP24</v>
      </c>
      <c r="D61" s="4" t="str">
        <f ca="1">IFERROR(__xludf.DUMMYFUNCTION("""COMPUTED_VALUE"""),"Mobile SMARTS: Магазин 15 с МОТП, БАЗОВЫЙ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поступ"&amp;"ление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" s="4" t="str">
        <f ca="1">IFERROR(__xludf.DUMMYFUNCTION("""COMPUTED_VALUE"""),"Mobile SMARTS: Магазин 15 с МОТП, БАЗОВЫЙ для «1С: ERP Управление предприятием 2.4.11», для работы с маркированным товаром: ТАБАК и товары по штрихкодам ")</f>
        <v xml:space="preserve">Mobile SMARTS: Магазин 15 с МОТП, БАЗОВЫЙ для «1С: ERP Управление предприятием 2.4.11», для работы с маркированным товаром: ТАБАК и товары по штрихкодам </v>
      </c>
      <c r="F61" s="5">
        <f ca="1">IFERROR(__xludf.DUMMYFUNCTION("""COMPUTED_VALUE"""),11150)</f>
        <v>11150</v>
      </c>
    </row>
    <row r="62" spans="1:6" ht="86.25" customHeight="1" x14ac:dyDescent="0.2">
      <c r="A62" s="4" t="str">
        <f ca="1">IFERROR(__xludf.DUMMYFUNCTION("""COMPUTED_VALUE"""),"«1С: ERP Управление предприятием 2.4.11»")</f>
        <v>«1С: ERP Управление предприятием 2.4.11»</v>
      </c>
      <c r="B62" s="4" t="str">
        <f ca="1">IFERROR(__xludf.DUMMYFUNCTION("""COMPUTED_VALUE"""),"с МОТП, РАСШИРЕННЫЙ")</f>
        <v>с МОТП, РАСШИРЕННЫЙ</v>
      </c>
      <c r="C62" s="4" t="str">
        <f ca="1">IFERROR(__xludf.DUMMYFUNCTION("""COMPUTED_VALUE"""),"RTL15BT-1CERP24")</f>
        <v>RTL15BT-1CERP24</v>
      </c>
      <c r="D62" s="4" t="str">
        <f ca="1">IFERROR(__xludf.DUMMYFUNCTION("""COMPUTED_VALUE"""),"Mobile SMARTS: Магазин 15 с МОТП, РАСШИРЕННЫЙ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по"&amp;"ступление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и"&amp;"нформация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2" s="4" t="str">
        <f ca="1">IFERROR(__xludf.DUMMYFUNCTION("""COMPUTED_VALUE"""),"Mobile SMARTS: Магазин 15 с МОТП, РАСШИРЕННЫЙ для «1С: ERP Управление предприятием 2.4.11», для работы с маркированным товаром: ТАБАК и товары по штрихкодам ")</f>
        <v xml:space="preserve">Mobile SMARTS: Магазин 15 с МОТП, РАСШИРЕННЫЙ для «1С: ERP Управление предприятием 2.4.11», для работы с маркированным товаром: ТАБАК и товары по штрихкодам </v>
      </c>
      <c r="F62" s="5">
        <f ca="1">IFERROR(__xludf.DUMMYFUNCTION("""COMPUTED_VALUE"""),17450)</f>
        <v>17450</v>
      </c>
    </row>
    <row r="63" spans="1:6" ht="86.25" customHeight="1" x14ac:dyDescent="0.2">
      <c r="A63" s="4" t="str">
        <f ca="1">IFERROR(__xludf.DUMMYFUNCTION("""COMPUTED_VALUE"""),"«1С: ERP Управление предприятием 2.4.11»")</f>
        <v>«1С: ERP Управление предприятием 2.4.11»</v>
      </c>
      <c r="B63" s="4" t="str">
        <f ca="1">IFERROR(__xludf.DUMMYFUNCTION("""COMPUTED_VALUE"""),"с МОТП, МЕГАМАРКЕТ")</f>
        <v>с МОТП, МЕГАМАРКЕТ</v>
      </c>
      <c r="C63" s="4" t="str">
        <f ca="1">IFERROR(__xludf.DUMMYFUNCTION("""COMPUTED_VALUE"""),"RTL15CT-1CERP24")</f>
        <v>RTL15CT-1CERP24</v>
      </c>
      <c r="D63" s="4" t="str">
        <f ca="1">IFERROR(__xludf.DUMMYFUNCTION("""COMPUTED_VALUE"""),"Mobile SMARTS: Магазин 15 с МОТП, МЕГАМАРКЕТ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пос"&amp;"тупление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ко"&amp;"ллективная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Mobile SMARTS: Магазин 15 с МОТП, МЕГАМАРКЕТ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3" s="4" t="str">
        <f ca="1">IFERROR(__xludf.DUMMYFUNCTION("""COMPUTED_VALUE"""),"Mobile SMARTS: Магазин 15 с МОТП, МЕГАМАРКЕТ для «1С: ERP Управление предприятием 2.4.11», для работы с маркированным товаром: ТАБАК и товары по штрихкодам ")</f>
        <v xml:space="preserve">Mobile SMARTS: Магазин 15 с МОТП, МЕГАМАРКЕТ для «1С: ERP Управление предприятием 2.4.11», для работы с маркированным товаром: ТАБАК и товары по штрихкодам </v>
      </c>
      <c r="F63" s="5">
        <f ca="1">IFERROR(__xludf.DUMMYFUNCTION("""COMPUTED_VALUE"""),23850)</f>
        <v>23850</v>
      </c>
    </row>
    <row r="64" spans="1:6" ht="86.25" customHeight="1" x14ac:dyDescent="0.2">
      <c r="A64" s="4" t="str">
        <f ca="1">IFERROR(__xludf.DUMMYFUNCTION("""COMPUTED_VALUE"""),"«1С: ERP Управление предприятием 2.4.11»")</f>
        <v>«1С: ERP Управление предприятием 2.4.11»</v>
      </c>
      <c r="B64" s="4" t="str">
        <f ca="1">IFERROR(__xludf.DUMMYFUNCTION("""COMPUTED_VALUE"""),"с ЕГАИС и МОТП, БАЗОВЫЙ")</f>
        <v>с ЕГАИС и МОТП, БАЗОВЫЙ</v>
      </c>
      <c r="C64" s="4" t="str">
        <f ca="1">IFERROR(__xludf.DUMMYFUNCTION("""COMPUTED_VALUE"""),"RTL15AET-1CERP24")</f>
        <v>RTL15AET-1CERP24</v>
      </c>
      <c r="D64" s="4" t="str">
        <f ca="1">IFERROR(__xludf.DUMMYFUNCTION("""COMPUTED_VALUE"""),"Mobile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доступны"&amp;"е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опера"&amp;"ций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4" s="4" t="str">
        <f ca="1">IFERROR(__xludf.DUMMYFUNCTION("""COMPUTED_VALUE"""),"Mobile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")</f>
        <v xml:space="preserve">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</v>
      </c>
      <c r="F64" s="5">
        <f ca="1">IFERROR(__xludf.DUMMYFUNCTION("""COMPUTED_VALUE"""),12150)</f>
        <v>12150</v>
      </c>
    </row>
    <row r="65" spans="1:6" ht="86.25" customHeight="1" x14ac:dyDescent="0.2">
      <c r="A65" s="4" t="str">
        <f ca="1">IFERROR(__xludf.DUMMYFUNCTION("""COMPUTED_VALUE"""),"«1С: ERP Управление предприятием 2.4.11»")</f>
        <v>«1С: ERP Управление предприятием 2.4.11»</v>
      </c>
      <c r="B65" s="4" t="str">
        <f ca="1">IFERROR(__xludf.DUMMYFUNCTION("""COMPUTED_VALUE"""),"с ЕГАИС и МОТП, РАСШИРЕННЫЙ")</f>
        <v>с ЕГАИС и МОТП, РАСШИРЕННЫЙ</v>
      </c>
      <c r="C65" s="4" t="str">
        <f ca="1">IFERROR(__xludf.DUMMYFUNCTION("""COMPUTED_VALUE"""),"RTL15BET-1CERP24")</f>
        <v>RTL15BET-1CERP24</v>
      </c>
      <c r="D65" s="4" t="str">
        <f ca="1">IFERROR(__xludf.DUMMYFUNCTION("""COMPUTED_VALUE"""),"Mobile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дост"&amp;"упные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перемещени"&amp;"е,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о"&amp;"пераций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5" s="4" t="str">
        <f ca="1">IFERROR(__xludf.DUMMYFUNCTION("""COMPUTED_VALUE"""),"Mobile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")</f>
        <v xml:space="preserve">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</v>
      </c>
      <c r="F65" s="5">
        <f ca="1">IFERROR(__xludf.DUMMYFUNCTION("""COMPUTED_VALUE"""),18550)</f>
        <v>18550</v>
      </c>
    </row>
    <row r="66" spans="1:6" ht="86.25" customHeight="1" x14ac:dyDescent="0.2">
      <c r="A66" s="4" t="str">
        <f ca="1">IFERROR(__xludf.DUMMYFUNCTION("""COMPUTED_VALUE"""),"«1С: ERP Управление предприятием 2.4.11»")</f>
        <v>«1С: ERP Управление предприятием 2.4.11»</v>
      </c>
      <c r="B66" s="4" t="str">
        <f ca="1">IFERROR(__xludf.DUMMYFUNCTION("""COMPUTED_VALUE"""),"с ЕГАИС и МОТП, МЕГАМАРКЕТ")</f>
        <v>с ЕГАИС и МОТП, МЕГАМАРКЕТ</v>
      </c>
      <c r="C66" s="4" t="str">
        <f ca="1">IFERROR(__xludf.DUMMYFUNCTION("""COMPUTED_VALUE"""),"RTL15CET-1CERP24")</f>
        <v>RTL15CET-1CERP24</v>
      </c>
      <c r="D66" s="4" t="str">
        <f ca="1">IFERROR(__xludf.DUMMYFUNCTION("""COMPUTED_VALUE"""),"Mobile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досту"&amp;"пные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перемещение"&amp;",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6" s="4" t="str">
        <f ca="1">IFERROR(__xludf.DUMMYFUNCTION("""COMPUTED_VALUE"""),"Mobile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")</f>
        <v xml:space="preserve">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</v>
      </c>
      <c r="F66" s="5">
        <f ca="1">IFERROR(__xludf.DUMMYFUNCTION("""COMPUTED_VALUE"""),26350)</f>
        <v>26350</v>
      </c>
    </row>
    <row r="67" spans="1:6" ht="86.25" customHeight="1" x14ac:dyDescent="0.2">
      <c r="A67" s="4" t="str">
        <f ca="1">IFERROR(__xludf.DUMMYFUNCTION("""COMPUTED_VALUE"""),"«1С: ERP Управление предприятием 2.4.11»")</f>
        <v>«1С: ERP Управление предприятием 2.4.11»</v>
      </c>
      <c r="B67" s="4" t="str">
        <f ca="1">IFERROR(__xludf.DUMMYFUNCTION("""COMPUTED_VALUE"""),"ШМОТКИ, БАЗОВЫЙ")</f>
        <v>ШМОТКИ, БАЗОВЫЙ</v>
      </c>
      <c r="C67" s="4" t="str">
        <f ca="1">IFERROR(__xludf.DUMMYFUNCTION("""COMPUTED_VALUE"""),"RTL15AK-1CERP24")</f>
        <v>RTL15AK-1CERP24</v>
      </c>
      <c r="D67" s="4" t="str">
        <f ca="1">IFERROR(__xludf.DUMMYFUNCTION("""COMPUTED_VALUE"""),"Mobile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дост"&amp;"упные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QR-кодо"&amp;"в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Интерне"&amp;"т на 1 (один) год")</f>
        <v>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7" s="4" t="str">
        <f ca="1">IFERROR(__xludf.DUMMYFUNCTION("""COMPUTED_VALUE"""),"Mobile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")</f>
        <v xml:space="preserve">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</v>
      </c>
      <c r="F67" s="5">
        <f ca="1">IFERROR(__xludf.DUMMYFUNCTION("""COMPUTED_VALUE"""),12150)</f>
        <v>12150</v>
      </c>
    </row>
    <row r="68" spans="1:6" ht="86.25" customHeight="1" x14ac:dyDescent="0.2">
      <c r="A68" s="4" t="str">
        <f ca="1">IFERROR(__xludf.DUMMYFUNCTION("""COMPUTED_VALUE"""),"«1С: ERP Управление предприятием 2.4.11»")</f>
        <v>«1С: ERP Управление предприятием 2.4.11»</v>
      </c>
      <c r="B68" s="4" t="str">
        <f ca="1">IFERROR(__xludf.DUMMYFUNCTION("""COMPUTED_VALUE"""),"ШМОТКИ, РАСШИРЕННЫЙ")</f>
        <v>ШМОТКИ, РАСШИРЕННЫЙ</v>
      </c>
      <c r="C68" s="4" t="str">
        <f ca="1">IFERROR(__xludf.DUMMYFUNCTION("""COMPUTED_VALUE"""),"RTL15BK-1CERP24")</f>
        <v>RTL15BK-1CERP24</v>
      </c>
      <c r="D68" s="4" t="str">
        <f ca="1">IFERROR(__xludf.DUMMYFUNCTION("""COMPUTED_VALUE"""),"Mobile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"&amp;"доступные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QR-"&amp;"кодов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8" s="4" t="str">
        <f ca="1">IFERROR(__xludf.DUMMYFUNCTION("""COMPUTED_VALUE"""),"Mobile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</v>
      </c>
      <c r="F68" s="5">
        <f ca="1">IFERROR(__xludf.DUMMYFUNCTION("""COMPUTED_VALUE"""),18550)</f>
        <v>18550</v>
      </c>
    </row>
    <row r="69" spans="1:6" ht="86.25" customHeight="1" x14ac:dyDescent="0.2">
      <c r="A69" s="4" t="str">
        <f ca="1">IFERROR(__xludf.DUMMYFUNCTION("""COMPUTED_VALUE"""),"«1С: ERP Управление предприятием 2.4.11»")</f>
        <v>«1С: ERP Управление предприятием 2.4.11»</v>
      </c>
      <c r="B69" s="4" t="str">
        <f ca="1">IFERROR(__xludf.DUMMYFUNCTION("""COMPUTED_VALUE"""),"ШМОТКИ, МЕГАМАРКЕТ")</f>
        <v>ШМОТКИ, МЕГАМАРКЕТ</v>
      </c>
      <c r="C69" s="4" t="str">
        <f ca="1">IFERROR(__xludf.DUMMYFUNCTION("""COMPUTED_VALUE"""),"RTL15CK-1CERP24")</f>
        <v>RTL15CK-1CERP24</v>
      </c>
      <c r="D69" s="4" t="str">
        <f ca="1">IFERROR(__xludf.DUMMYFUNCTION("""COMPUTED_VALUE"""),"Mobile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д"&amp;"оступные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QR-к"&amp;"одов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9" s="4" t="str">
        <f ca="1">IFERROR(__xludf.DUMMYFUNCTION("""COMPUTED_VALUE"""),"Mobile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</v>
      </c>
      <c r="F69" s="5">
        <f ca="1">IFERROR(__xludf.DUMMYFUNCTION("""COMPUTED_VALUE"""),26350)</f>
        <v>26350</v>
      </c>
    </row>
    <row r="70" spans="1:6" ht="86.25" customHeight="1" x14ac:dyDescent="0.2">
      <c r="A70" s="4" t="str">
        <f ca="1">IFERROR(__xludf.DUMMYFUNCTION("""COMPUTED_VALUE"""),"«1С: ERP Управление предприятием 2.4.11»")</f>
        <v>«1С: ERP Управление предприятием 2.4.11»</v>
      </c>
      <c r="B70" s="4" t="str">
        <f ca="1">IFERROR(__xludf.DUMMYFUNCTION("""COMPUTED_VALUE"""),"ПРОДУКТОВЫЙ, БАЗОВЫЙ")</f>
        <v>ПРОДУКТОВЫЙ, БАЗОВЫЙ</v>
      </c>
      <c r="C70" s="4" t="str">
        <f ca="1">IFERROR(__xludf.DUMMYFUNCTION("""COMPUTED_VALUE"""),"RTL15AG-1CERP24")</f>
        <v>RTL15AG-1CERP24</v>
      </c>
      <c r="D70" s="4" t="str">
        <f ca="1">IFERROR(__xludf.DUMMYFUNCTION("""COMPUTED_VALUE"""),"Mobile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"&amp;"обмен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з"&amp;"аказа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0" s="4" t="str">
        <f ca="1">IFERROR(__xludf.DUMMYFUNCTION("""COMPUTED_VALUE"""),"Mobile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</v>
      </c>
      <c r="F70" s="5">
        <f ca="1">IFERROR(__xludf.DUMMYFUNCTION("""COMPUTED_VALUE"""),14550)</f>
        <v>14550</v>
      </c>
    </row>
    <row r="71" spans="1:6" ht="86.25" customHeight="1" x14ac:dyDescent="0.2">
      <c r="A71" s="4" t="str">
        <f ca="1">IFERROR(__xludf.DUMMYFUNCTION("""COMPUTED_VALUE"""),"«1С: ERP Управление предприятием 2.4.11»")</f>
        <v>«1С: ERP Управление предприятием 2.4.11»</v>
      </c>
      <c r="B71" s="4" t="str">
        <f ca="1">IFERROR(__xludf.DUMMYFUNCTION("""COMPUTED_VALUE"""),"ПРОДУКТОВЫЙ, РАСШИРЕННЫЙ")</f>
        <v>ПРОДУКТОВЫЙ, РАСШИРЕННЫЙ</v>
      </c>
      <c r="C71" s="4" t="str">
        <f ca="1">IFERROR(__xludf.DUMMYFUNCTION("""COMPUTED_VALUE"""),"RTL15BG-1CERP24")</f>
        <v>RTL15BG-1CERP24</v>
      </c>
      <c r="D71" s="4" t="str">
        <f ca="1">IFERROR(__xludf.DUMMYFUNCTION("""COMPUTED_VALUE"""),"Mobile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"&amp;"или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подб"&amp;"ор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1" s="4" t="str">
        <f ca="1">IFERROR(__xludf.DUMMYFUNCTION("""COMPUTED_VALUE"""),"Mobile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</v>
      </c>
      <c r="F71" s="5">
        <f ca="1">IFERROR(__xludf.DUMMYFUNCTION("""COMPUTED_VALUE"""),20950)</f>
        <v>20950</v>
      </c>
    </row>
    <row r="72" spans="1:6" ht="86.25" customHeight="1" x14ac:dyDescent="0.2">
      <c r="A72" s="4" t="str">
        <f ca="1">IFERROR(__xludf.DUMMYFUNCTION("""COMPUTED_VALUE"""),"«1С: ERP Управление предприятием 2.4.11»")</f>
        <v>«1С: ERP Управление предприятием 2.4.11»</v>
      </c>
      <c r="B72" s="4" t="str">
        <f ca="1">IFERROR(__xludf.DUMMYFUNCTION("""COMPUTED_VALUE"""),"ПРОДУКТОВЫЙ, МЕГАМАРКЕТ")</f>
        <v>ПРОДУКТОВЫЙ, МЕГАМАРКЕТ</v>
      </c>
      <c r="C72" s="4" t="str">
        <f ca="1">IFERROR(__xludf.DUMMYFUNCTION("""COMPUTED_VALUE"""),"RTL15CG-1CERP24")</f>
        <v>RTL15CG-1CERP24</v>
      </c>
      <c r="D72" s="4" t="str">
        <f ca="1">IFERROR(__xludf.DUMMYFUNCTION("""COMPUTED_VALUE"""),"Mobile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и"&amp;"ли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подбо"&amp;"р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2" s="4" t="str">
        <f ca="1">IFERROR(__xludf.DUMMYFUNCTION("""COMPUTED_VALUE"""),"Mobile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</v>
      </c>
      <c r="F72" s="5">
        <f ca="1">IFERROR(__xludf.DUMMYFUNCTION("""COMPUTED_VALUE"""),28250)</f>
        <v>28250</v>
      </c>
    </row>
    <row r="73" spans="1:6" ht="86.25" customHeight="1" x14ac:dyDescent="0.2">
      <c r="A73" s="4" t="str">
        <f ca="1">IFERROR(__xludf.DUMMYFUNCTION("""COMPUTED_VALUE"""),"«1С: ERP Управление предприятием 2.5»")</f>
        <v>«1С: ERP Управление предприятием 2.5»</v>
      </c>
      <c r="B73" s="4" t="str">
        <f ca="1">IFERROR(__xludf.DUMMYFUNCTION("""COMPUTED_VALUE"""),"МИНИМУМ")</f>
        <v>МИНИМУМ</v>
      </c>
      <c r="C73" s="4" t="str">
        <f ca="1">IFERROR(__xludf.DUMMYFUNCTION("""COMPUTED_VALUE"""),"RTL15M-1CERP25")</f>
        <v>RTL15M-1CERP25</v>
      </c>
      <c r="D73" s="4" t="str">
        <f ca="1">IFERROR(__xludf.DUMMYFUNCTION("""COMPUTED_VALUE"""),"Mobile SMARTS: Магазин 15, МИНИМУМ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това"&amp;"ров,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("&amp;"один) год")</f>
        <v>Mobile SMARTS: Магазин 15, МИНИМУМ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73" s="4" t="str">
        <f ca="1">IFERROR(__xludf.DUMMYFUNCTION("""COMPUTED_VALUE"""),"Mobile SMARTS: Магазин 15, МИНИМУМ для «1С: ERP Управление предприятием 2.5», для работы с товаром по штрихкодам ")</f>
        <v xml:space="preserve">Mobile SMARTS: Магазин 15, МИНИМУМ для «1С: ERP Управление предприятием 2.5», для работы с товаром по штрихкодам </v>
      </c>
      <c r="F73" s="5">
        <f ca="1">IFERROR(__xludf.DUMMYFUNCTION("""COMPUTED_VALUE"""),3450)</f>
        <v>3450</v>
      </c>
    </row>
    <row r="74" spans="1:6" ht="86.25" customHeight="1" x14ac:dyDescent="0.2">
      <c r="A74" s="4" t="str">
        <f ca="1">IFERROR(__xludf.DUMMYFUNCTION("""COMPUTED_VALUE"""),"«1С: ERP Управление предприятием 2.5»")</f>
        <v>«1С: ERP Управление предприятием 2.5»</v>
      </c>
      <c r="B74" s="4" t="str">
        <f ca="1">IFERROR(__xludf.DUMMYFUNCTION("""COMPUTED_VALUE"""),"БАЗОВЫЙ")</f>
        <v>БАЗОВЫЙ</v>
      </c>
      <c r="C74" s="4" t="str">
        <f ca="1">IFERROR(__xludf.DUMMYFUNCTION("""COMPUTED_VALUE"""),"RTL15A-1CERP25")</f>
        <v>RTL15A-1CERP25</v>
      </c>
      <c r="D74" s="4" t="str">
        <f ca="1">IFERROR(__xludf.DUMMYFUNCTION("""COMPUTED_VALUE"""),"Mobile SMARTS: Магазин 15, БАЗОВЫЙ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т.ч"&amp;".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4" s="4" t="str">
        <f ca="1">IFERROR(__xludf.DUMMYFUNCTION("""COMPUTED_VALUE"""),"Mobile SMARTS: Магазин 15, БАЗОВЫЙ для «1С: ERP Управление предприятием 2.5», для работы с товаром по штрихкодам ")</f>
        <v xml:space="preserve">Mobile SMARTS: Магазин 15, БАЗОВЫЙ для «1С: ERP Управление предприятием 2.5», для работы с товаром по штрихкодам </v>
      </c>
      <c r="F74" s="5">
        <f ca="1">IFERROR(__xludf.DUMMYFUNCTION("""COMPUTED_VALUE"""),8650)</f>
        <v>8650</v>
      </c>
    </row>
    <row r="75" spans="1:6" ht="86.25" customHeight="1" x14ac:dyDescent="0.2">
      <c r="A75" s="4" t="str">
        <f ca="1">IFERROR(__xludf.DUMMYFUNCTION("""COMPUTED_VALUE"""),"«1С: ERP Управление предприятием 2.5»")</f>
        <v>«1С: ERP Управление предприятием 2.5»</v>
      </c>
      <c r="B75" s="4" t="str">
        <f ca="1">IFERROR(__xludf.DUMMYFUNCTION("""COMPUTED_VALUE"""),"РАСШИРЕННЫЙ")</f>
        <v>РАСШИРЕННЫЙ</v>
      </c>
      <c r="C75" s="4" t="str">
        <f ca="1">IFERROR(__xludf.DUMMYFUNCTION("""COMPUTED_VALUE"""),"RTL15B-1CERP25")</f>
        <v>RTL15B-1CERP25</v>
      </c>
      <c r="D75" s="4" t="str">
        <f ca="1">IFERROR(__xludf.DUMMYFUNCTION("""COMPUTED_VALUE"""),"Mobile SMARTS: Магазин 15, РАСШИРЕННЫЙ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(в"&amp;"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су"&amp;"ществующих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5" s="4" t="str">
        <f ca="1">IFERROR(__xludf.DUMMYFUNCTION("""COMPUTED_VALUE"""),"Mobile SMARTS: Магазин 15, РАСШИРЕННЫЙ для «1С: ERP Управление предприятием 2.5», для работы с товаром по штрихкодам ")</f>
        <v xml:space="preserve">Mobile SMARTS: Магазин 15, РАСШИРЕННЫЙ для «1С: ERP Управление предприятием 2.5», для работы с товаром по штрихкодам </v>
      </c>
      <c r="F75" s="5">
        <f ca="1">IFERROR(__xludf.DUMMYFUNCTION("""COMPUTED_VALUE"""),15050)</f>
        <v>15050</v>
      </c>
    </row>
    <row r="76" spans="1:6" ht="86.25" customHeight="1" x14ac:dyDescent="0.2">
      <c r="A76" s="4" t="str">
        <f ca="1">IFERROR(__xludf.DUMMYFUNCTION("""COMPUTED_VALUE"""),"«1С: ERP Управление предприятием 2.5»")</f>
        <v>«1С: ERP Управление предприятием 2.5»</v>
      </c>
      <c r="B76" s="4" t="str">
        <f ca="1">IFERROR(__xludf.DUMMYFUNCTION("""COMPUTED_VALUE"""),"МЕГАМАРКЕТ")</f>
        <v>МЕГАМАРКЕТ</v>
      </c>
      <c r="C76" s="4" t="str">
        <f ca="1">IFERROR(__xludf.DUMMYFUNCTION("""COMPUTED_VALUE"""),"RTL15C-1CERP25")</f>
        <v>RTL15C-1CERP25</v>
      </c>
      <c r="D76" s="4" t="str">
        <f ca="1">IFERROR(__xludf.DUMMYFUNCTION("""COMPUTED_VALUE"""),"Mobile SMARTS: Магазин 15, МЕГАМАРКЕТ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"&amp;"т.ч.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6" s="4" t="str">
        <f ca="1">IFERROR(__xludf.DUMMYFUNCTION("""COMPUTED_VALUE"""),"Mobile SMARTS: Магазин 15, МЕГАМАРКЕТ для «1С: ERP Управление предприятием 2.5», для работы с товаром по штрихкодам ")</f>
        <v xml:space="preserve">Mobile SMARTS: Магазин 15, МЕГАМАРКЕТ для «1С: ERP Управление предприятием 2.5», для работы с товаром по штрихкодам </v>
      </c>
      <c r="F76" s="5">
        <f ca="1">IFERROR(__xludf.DUMMYFUNCTION("""COMPUTED_VALUE"""),21550)</f>
        <v>21550</v>
      </c>
    </row>
    <row r="77" spans="1:6" ht="86.25" customHeight="1" x14ac:dyDescent="0.2">
      <c r="A77" s="4" t="str">
        <f ca="1">IFERROR(__xludf.DUMMYFUNCTION("""COMPUTED_VALUE"""),"«1С: ERP Управление предприятием 2.5»")</f>
        <v>«1С: ERP Управление предприятием 2.5»</v>
      </c>
      <c r="B77" s="4" t="str">
        <f ca="1">IFERROR(__xludf.DUMMYFUNCTION("""COMPUTED_VALUE"""),"с ЕГАИС, БАЗОВЫЙ")</f>
        <v>с ЕГАИС, БАЗОВЫЙ</v>
      </c>
      <c r="C77" s="4" t="str">
        <f ca="1">IFERROR(__xludf.DUMMYFUNCTION("""COMPUTED_VALUE"""),"RTL15AE-1CERP25")</f>
        <v>RTL15AE-1CERP25</v>
      </c>
      <c r="D77" s="4" t="str">
        <f ca="1">IFERROR(__xludf.DUMMYFUNCTION("""COMPUTED_VALUE"""),"Mobile SMARTS: Магазин 15 с ЕГАИС, БАЗОВЫЙ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операции:"&amp;"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инфо"&amp;"рмация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77" s="4" t="str">
        <f ca="1">IFERROR(__xludf.DUMMYFUNCTION("""COMPUTED_VALUE"""),"Mobile SMARTS: Магазин 15 с ЕГАИС, БАЗОВЫЙ для «1С: ERP Управление предприятием 2.5», для работы с маркированным товаром: алкоголь ЕГАИС и товары по штрихкодам ")</f>
        <v xml:space="preserve">Mobile SMARTS: Магазин 15 с ЕГАИС, БАЗОВЫЙ для «1С: ERP Управление предприятием 2.5», для работы с маркированным товаром: алкоголь ЕГАИС и товары по штрихкодам </v>
      </c>
      <c r="F77" s="5">
        <f ca="1">IFERROR(__xludf.DUMMYFUNCTION("""COMPUTED_VALUE"""),11000)</f>
        <v>11000</v>
      </c>
    </row>
    <row r="78" spans="1:6" ht="86.25" customHeight="1" x14ac:dyDescent="0.2">
      <c r="A78" s="4" t="str">
        <f ca="1">IFERROR(__xludf.DUMMYFUNCTION("""COMPUTED_VALUE"""),"«1С: ERP Управление предприятием 2.5»")</f>
        <v>«1С: ERP Управление предприятием 2.5»</v>
      </c>
      <c r="B78" s="4" t="str">
        <f ca="1">IFERROR(__xludf.DUMMYFUNCTION("""COMPUTED_VALUE"""),"с ЕГАИС, РАСШИРЕННЫЙ")</f>
        <v>с ЕГАИС, РАСШИРЕННЫЙ</v>
      </c>
      <c r="C78" s="4" t="str">
        <f ca="1">IFERROR(__xludf.DUMMYFUNCTION("""COMPUTED_VALUE"""),"RTL15BE-1CERP25")</f>
        <v>RTL15BE-1CERP25</v>
      </c>
      <c r="D78" s="4" t="str">
        <f ca="1">IFERROR(__xludf.DUMMYFUNCTION("""COMPUTED_VALUE"""),"Mobile SMARTS: Магазин 15 с ЕГАИС, РАСШИРЕННЫЙ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опера"&amp;"ции: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8" s="4" t="str">
        <f ca="1">IFERROR(__xludf.DUMMYFUNCTION("""COMPUTED_VALUE"""),"Mobile SMARTS: Магазин 15 с ЕГАИС, РАСШИРЕННЫЙ для «1С: ERP Управление предприятием 2.5», для работы с маркированным товаром: алкоголь ЕГАИС и товары по штрихкодам ")</f>
        <v xml:space="preserve">Mobile SMARTS: Магазин 15 с ЕГАИС, РАСШИРЕННЫЙ для «1С: ERP Управление предприятием 2.5», для работы с маркированным товаром: алкоголь ЕГАИС и товары по штрихкодам </v>
      </c>
      <c r="F78" s="5">
        <f ca="1">IFERROR(__xludf.DUMMYFUNCTION("""COMPUTED_VALUE"""),17450)</f>
        <v>17450</v>
      </c>
    </row>
    <row r="79" spans="1:6" ht="86.25" customHeight="1" x14ac:dyDescent="0.2">
      <c r="A79" s="4" t="str">
        <f ca="1">IFERROR(__xludf.DUMMYFUNCTION("""COMPUTED_VALUE"""),"«1С: ERP Управление предприятием 2.5»")</f>
        <v>«1С: ERP Управление предприятием 2.5»</v>
      </c>
      <c r="B79" s="4" t="str">
        <f ca="1">IFERROR(__xludf.DUMMYFUNCTION("""COMPUTED_VALUE"""),"с ЕГАИС (без CheckMark2), МЕГАМАРКЕТ")</f>
        <v>с ЕГАИС (без CheckMark2), МЕГАМАРКЕТ</v>
      </c>
      <c r="C79" s="4" t="str">
        <f ca="1">IFERROR(__xludf.DUMMYFUNCTION("""COMPUTED_VALUE"""),"RTL15CEV-1CERP25")</f>
        <v>RTL15CEV-1CERP25</v>
      </c>
      <c r="D79" s="4" t="str">
        <f ca="1">IFERROR(__xludf.DUMMYFUNCTION("""COMPUTED_VALUE"""),"Mobile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"&amp;"работа,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9" s="4" t="str">
        <f ca="1">IFERROR(__xludf.DUMMYFUNCTION("""COMPUTED_VALUE"""),"Mobile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</v>
      </c>
      <c r="F79" s="5">
        <f ca="1">IFERROR(__xludf.DUMMYFUNCTION("""COMPUTED_VALUE"""),23850)</f>
        <v>23850</v>
      </c>
    </row>
    <row r="80" spans="1:6" ht="86.25" customHeight="1" x14ac:dyDescent="0.2">
      <c r="A80" s="4" t="str">
        <f ca="1">IFERROR(__xludf.DUMMYFUNCTION("""COMPUTED_VALUE"""),"«1С: ERP Управление предприятием 2.5»")</f>
        <v>«1С: ERP Управление предприятием 2.5»</v>
      </c>
      <c r="B80" s="4" t="str">
        <f ca="1">IFERROR(__xludf.DUMMYFUNCTION("""COMPUTED_VALUE"""),"с МОТП, БАЗОВЫЙ")</f>
        <v>с МОТП, БАЗОВЫЙ</v>
      </c>
      <c r="C80" s="4" t="str">
        <f ca="1">IFERROR(__xludf.DUMMYFUNCTION("""COMPUTED_VALUE"""),"RTL15AT-1CERP25")</f>
        <v>RTL15AT-1CERP25</v>
      </c>
      <c r="D80" s="4" t="str">
        <f ca="1">IFERROR(__xludf.DUMMYFUNCTION("""COMPUTED_VALUE"""),"Mobile SMARTS: Магазин 15 с МОТП, БАЗОВЫЙ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поступлен"&amp;"ие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информац"&amp;"ия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0" s="4" t="str">
        <f ca="1">IFERROR(__xludf.DUMMYFUNCTION("""COMPUTED_VALUE"""),"Mobile SMARTS: Магазин 15 с МОТП, БАЗОВЫЙ для «1С: ERP Управление предприятием 2.5», для работы с маркированным товаром: ТАБАК и товары по штрихкодам ")</f>
        <v xml:space="preserve">Mobile SMARTS: Магазин 15 с МОТП, БАЗОВЫЙ для «1С: ERP Управление предприятием 2.5», для работы с маркированным товаром: ТАБАК и товары по штрихкодам </v>
      </c>
      <c r="F80" s="5">
        <f ca="1">IFERROR(__xludf.DUMMYFUNCTION("""COMPUTED_VALUE"""),11150)</f>
        <v>11150</v>
      </c>
    </row>
    <row r="81" spans="1:6" ht="86.25" customHeight="1" x14ac:dyDescent="0.2">
      <c r="A81" s="4" t="str">
        <f ca="1">IFERROR(__xludf.DUMMYFUNCTION("""COMPUTED_VALUE"""),"«1С: ERP Управление предприятием 2.5»")</f>
        <v>«1С: ERP Управление предприятием 2.5»</v>
      </c>
      <c r="B81" s="4" t="str">
        <f ca="1">IFERROR(__xludf.DUMMYFUNCTION("""COMPUTED_VALUE"""),"с МОТП, РАСШИРЕННЫЙ")</f>
        <v>с МОТП, РАСШИРЕННЫЙ</v>
      </c>
      <c r="C81" s="4" t="str">
        <f ca="1">IFERROR(__xludf.DUMMYFUNCTION("""COMPUTED_VALUE"""),"RTL15BT-1CERP25")</f>
        <v>RTL15BT-1CERP25</v>
      </c>
      <c r="D81" s="4" t="str">
        <f ca="1">IFERROR(__xludf.DUMMYFUNCTION("""COMPUTED_VALUE"""),"Mobile SMARTS: Магазин 15 с МОТП, РАСШИРЕННЫЙ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посту"&amp;"пление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инфо"&amp;"рмация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1" s="4" t="str">
        <f ca="1">IFERROR(__xludf.DUMMYFUNCTION("""COMPUTED_VALUE"""),"Mobile SMARTS: Магазин 15 с МОТП, РАСШИРЕННЫЙ для «1С: ERP Управление предприятием 2.5», для работы с маркированным товаром: ТАБАК и товары по штрихкодам ")</f>
        <v xml:space="preserve">Mobile SMARTS: Магазин 15 с МОТП, РАСШИРЕННЫЙ для «1С: ERP Управление предприятием 2.5», для работы с маркированным товаром: ТАБАК и товары по штрихкодам </v>
      </c>
      <c r="F81" s="5">
        <f ca="1">IFERROR(__xludf.DUMMYFUNCTION("""COMPUTED_VALUE"""),17450)</f>
        <v>17450</v>
      </c>
    </row>
    <row r="82" spans="1:6" ht="86.25" customHeight="1" x14ac:dyDescent="0.2">
      <c r="A82" s="4" t="str">
        <f ca="1">IFERROR(__xludf.DUMMYFUNCTION("""COMPUTED_VALUE"""),"«1С: ERP Управление предприятием 2.5»")</f>
        <v>«1С: ERP Управление предприятием 2.5»</v>
      </c>
      <c r="B82" s="4" t="str">
        <f ca="1">IFERROR(__xludf.DUMMYFUNCTION("""COMPUTED_VALUE"""),"с МОТП, МЕГАМАРКЕТ")</f>
        <v>с МОТП, МЕГАМАРКЕТ</v>
      </c>
      <c r="C82" s="4" t="str">
        <f ca="1">IFERROR(__xludf.DUMMYFUNCTION("""COMPUTED_VALUE"""),"RTL15CT-1CERP25")</f>
        <v>RTL15CT-1CERP25</v>
      </c>
      <c r="D82" s="4" t="str">
        <f ca="1">IFERROR(__xludf.DUMMYFUNCTION("""COMPUTED_VALUE"""),"Mobile SMARTS: Магазин 15 с МОТП, МЕГАМАРКЕТ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поступ"&amp;"ление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колле"&amp;"ктивная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Интернет"&amp;" на 1 (один) год")</f>
        <v>Mobile SMARTS: Магазин 15 с МОТП, МЕГАМАРКЕТ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2" s="4" t="str">
        <f ca="1">IFERROR(__xludf.DUMMYFUNCTION("""COMPUTED_VALUE"""),"Mobile SMARTS: Магазин 15 с МОТП, МЕГАМАРКЕТ для «1С: ERP Управление предприятием 2.5», для работы с маркированным товаром: ТАБАК и товары по штрихкодам ")</f>
        <v xml:space="preserve">Mobile SMARTS: Магазин 15 с МОТП, МЕГАМАРКЕТ для «1С: ERP Управление предприятием 2.5», для работы с маркированным товаром: ТАБАК и товары по штрихкодам </v>
      </c>
      <c r="F82" s="5">
        <f ca="1">IFERROR(__xludf.DUMMYFUNCTION("""COMPUTED_VALUE"""),23850)</f>
        <v>23850</v>
      </c>
    </row>
    <row r="83" spans="1:6" ht="86.25" customHeight="1" x14ac:dyDescent="0.2">
      <c r="A83" s="4" t="str">
        <f ca="1">IFERROR(__xludf.DUMMYFUNCTION("""COMPUTED_VALUE"""),"«1С: ERP Управление предприятием 2.5»")</f>
        <v>«1С: ERP Управление предприятием 2.5»</v>
      </c>
      <c r="B83" s="4" t="str">
        <f ca="1">IFERROR(__xludf.DUMMYFUNCTION("""COMPUTED_VALUE"""),"с ЕГАИС и МОТП, БАЗОВЫЙ")</f>
        <v>с ЕГАИС и МОТП, БАЗОВЫЙ</v>
      </c>
      <c r="C83" s="4" t="str">
        <f ca="1">IFERROR(__xludf.DUMMYFUNCTION("""COMPUTED_VALUE"""),"RTL15AET-1CERP25")</f>
        <v>RTL15AET-1CERP25</v>
      </c>
      <c r="D83" s="4" t="str">
        <f ca="1">IFERROR(__xludf.DUMMYFUNCTION("""COMPUTED_VALUE"""),"Mobile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о"&amp;"перации: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операций"&amp;"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3" s="4" t="str">
        <f ca="1">IFERROR(__xludf.DUMMYFUNCTION("""COMPUTED_VALUE"""),"Mobile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")</f>
        <v xml:space="preserve">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</v>
      </c>
      <c r="F83" s="5">
        <f ca="1">IFERROR(__xludf.DUMMYFUNCTION("""COMPUTED_VALUE"""),12150)</f>
        <v>12150</v>
      </c>
    </row>
    <row r="84" spans="1:6" ht="86.25" customHeight="1" x14ac:dyDescent="0.2">
      <c r="A84" s="4" t="str">
        <f ca="1">IFERROR(__xludf.DUMMYFUNCTION("""COMPUTED_VALUE"""),"«1С: ERP Управление предприятием 2.5»")</f>
        <v>«1С: ERP Управление предприятием 2.5»</v>
      </c>
      <c r="B84" s="4" t="str">
        <f ca="1">IFERROR(__xludf.DUMMYFUNCTION("""COMPUTED_VALUE"""),"с ЕГАИС и МОТП, РАСШИРЕННЫЙ")</f>
        <v>с ЕГАИС и МОТП, РАСШИРЕННЫЙ</v>
      </c>
      <c r="C84" s="4" t="str">
        <f ca="1">IFERROR(__xludf.DUMMYFUNCTION("""COMPUTED_VALUE"""),"RTL15BET-1CERP25")</f>
        <v>RTL15BET-1CERP25</v>
      </c>
      <c r="D84" s="4" t="str">
        <f ca="1">IFERROR(__xludf.DUMMYFUNCTION("""COMPUTED_VALUE"""),"Mobile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доступн"&amp;"ые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"&amp;"сбор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опер"&amp;"аций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4" s="4" t="str">
        <f ca="1">IFERROR(__xludf.DUMMYFUNCTION("""COMPUTED_VALUE"""),"Mobile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")</f>
        <v xml:space="preserve">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</v>
      </c>
      <c r="F84" s="5">
        <f ca="1">IFERROR(__xludf.DUMMYFUNCTION("""COMPUTED_VALUE"""),18550)</f>
        <v>18550</v>
      </c>
    </row>
    <row r="85" spans="1:6" ht="86.25" customHeight="1" x14ac:dyDescent="0.2">
      <c r="A85" s="4" t="str">
        <f ca="1">IFERROR(__xludf.DUMMYFUNCTION("""COMPUTED_VALUE"""),"«1С: ERP Управление предприятием 2.5»")</f>
        <v>«1С: ERP Управление предприятием 2.5»</v>
      </c>
      <c r="B85" s="4" t="str">
        <f ca="1">IFERROR(__xludf.DUMMYFUNCTION("""COMPUTED_VALUE"""),"с ЕГАИС и МОТП, МЕГАМАРКЕТ")</f>
        <v>с ЕГАИС и МОТП, МЕГАМАРКЕТ</v>
      </c>
      <c r="C85" s="4" t="str">
        <f ca="1">IFERROR(__xludf.DUMMYFUNCTION("""COMPUTED_VALUE"""),"RTL15CET-1CERP25")</f>
        <v>RTL15CET-1CERP25</v>
      </c>
      <c r="D85" s="4" t="str">
        <f ca="1">IFERROR(__xludf.DUMMYFUNCTION("""COMPUTED_VALUE"""),"Mobile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доступны"&amp;"е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5" s="4" t="str">
        <f ca="1">IFERROR(__xludf.DUMMYFUNCTION("""COMPUTED_VALUE"""),"Mobile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")</f>
        <v xml:space="preserve">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</v>
      </c>
      <c r="F85" s="5">
        <f ca="1">IFERROR(__xludf.DUMMYFUNCTION("""COMPUTED_VALUE"""),26350)</f>
        <v>26350</v>
      </c>
    </row>
    <row r="86" spans="1:6" ht="86.25" customHeight="1" x14ac:dyDescent="0.2">
      <c r="A86" s="4" t="str">
        <f ca="1">IFERROR(__xludf.DUMMYFUNCTION("""COMPUTED_VALUE"""),"«1С: ERP Управление предприятием 2.5»")</f>
        <v>«1С: ERP Управление предприятием 2.5»</v>
      </c>
      <c r="B86" s="4" t="str">
        <f ca="1">IFERROR(__xludf.DUMMYFUNCTION("""COMPUTED_VALUE"""),"ШМОТКИ, БАЗОВЫЙ")</f>
        <v>ШМОТКИ, БАЗОВЫЙ</v>
      </c>
      <c r="C86" s="4" t="str">
        <f ca="1">IFERROR(__xludf.DUMMYFUNCTION("""COMPUTED_VALUE"""),"RTL15AK-1CERP25")</f>
        <v>RTL15AK-1CERP25</v>
      </c>
      <c r="D86" s="4" t="str">
        <f ca="1">IFERROR(__xludf.DUMMYFUNCTION("""COMPUTED_VALUE"""),"Mobile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доступн"&amp;"ые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/"&amp;"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н"&amp;"а 1 (один) год")</f>
        <v>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6" s="4" t="str">
        <f ca="1">IFERROR(__xludf.DUMMYFUNCTION("""COMPUTED_VALUE"""),"Mobile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")</f>
        <v xml:space="preserve">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</v>
      </c>
      <c r="F86" s="5">
        <f ca="1">IFERROR(__xludf.DUMMYFUNCTION("""COMPUTED_VALUE"""),12150)</f>
        <v>12150</v>
      </c>
    </row>
    <row r="87" spans="1:6" ht="86.25" customHeight="1" x14ac:dyDescent="0.2">
      <c r="A87" s="4" t="str">
        <f ca="1">IFERROR(__xludf.DUMMYFUNCTION("""COMPUTED_VALUE"""),"«1С: ERP Управление предприятием 2.5»")</f>
        <v>«1С: ERP Управление предприятием 2.5»</v>
      </c>
      <c r="B87" s="4" t="str">
        <f ca="1">IFERROR(__xludf.DUMMYFUNCTION("""COMPUTED_VALUE"""),"ШМОТКИ, РАСШИРЕННЫЙ")</f>
        <v>ШМОТКИ, РАСШИРЕННЫЙ</v>
      </c>
      <c r="C87" s="4" t="str">
        <f ca="1">IFERROR(__xludf.DUMMYFUNCTION("""COMPUTED_VALUE"""),"RTL15BK-1CERP25")</f>
        <v>RTL15BK-1CERP25</v>
      </c>
      <c r="D87" s="4" t="str">
        <f ca="1">IFERROR(__xludf.DUMMYFUNCTION("""COMPUTED_VALUE"""),"Mobile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дос"&amp;"тупные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QR-код"&amp;"ов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Интерн"&amp;"ет на 1 (один) год")</f>
        <v>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7" s="4" t="str">
        <f ca="1">IFERROR(__xludf.DUMMYFUNCTION("""COMPUTED_VALUE"""),"Mobile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</v>
      </c>
      <c r="F87" s="5">
        <f ca="1">IFERROR(__xludf.DUMMYFUNCTION("""COMPUTED_VALUE"""),18550)</f>
        <v>18550</v>
      </c>
    </row>
    <row r="88" spans="1:6" ht="86.25" customHeight="1" x14ac:dyDescent="0.2">
      <c r="A88" s="4" t="str">
        <f ca="1">IFERROR(__xludf.DUMMYFUNCTION("""COMPUTED_VALUE"""),"«1С: ERP Управление предприятием 2.5»")</f>
        <v>«1С: ERP Управление предприятием 2.5»</v>
      </c>
      <c r="B88" s="4" t="str">
        <f ca="1">IFERROR(__xludf.DUMMYFUNCTION("""COMPUTED_VALUE"""),"ШМОТКИ, МЕГАМАРКЕТ")</f>
        <v>ШМОТКИ, МЕГАМАРКЕТ</v>
      </c>
      <c r="C88" s="4" t="str">
        <f ca="1">IFERROR(__xludf.DUMMYFUNCTION("""COMPUTED_VALUE"""),"RTL15CK-1CERP25")</f>
        <v>RTL15CK-1CERP25</v>
      </c>
      <c r="D88" s="4" t="str">
        <f ca="1">IFERROR(__xludf.DUMMYFUNCTION("""COMPUTED_VALUE"""),"Mobile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дост"&amp;"упные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QR-кодо"&amp;"в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"&amp;"и обмен через Интернет на 1 (один) год")</f>
        <v>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8" s="4" t="str">
        <f ca="1">IFERROR(__xludf.DUMMYFUNCTION("""COMPUTED_VALUE"""),"Mobile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</v>
      </c>
      <c r="F88" s="5">
        <f ca="1">IFERROR(__xludf.DUMMYFUNCTION("""COMPUTED_VALUE"""),26350)</f>
        <v>26350</v>
      </c>
    </row>
    <row r="89" spans="1:6" ht="86.25" customHeight="1" x14ac:dyDescent="0.2">
      <c r="A89" s="4" t="str">
        <f ca="1">IFERROR(__xludf.DUMMYFUNCTION("""COMPUTED_VALUE"""),"«1С: ERP Управление предприятием 2.5»")</f>
        <v>«1С: ERP Управление предприятием 2.5»</v>
      </c>
      <c r="B89" s="4" t="str">
        <f ca="1">IFERROR(__xludf.DUMMYFUNCTION("""COMPUTED_VALUE"""),"ПРОДУКТОВЫЙ, БАЗОВЫЙ")</f>
        <v>ПРОДУКТОВЫЙ, БАЗОВЫЙ</v>
      </c>
      <c r="C89" s="4" t="str">
        <f ca="1">IFERROR(__xludf.DUMMYFUNCTION("""COMPUTED_VALUE"""),"RTL15AG-1CERP25")</f>
        <v>RTL15AG-1CERP25</v>
      </c>
      <c r="D89" s="4" t="str">
        <f ca="1">IFERROR(__xludf.DUMMYFUNCTION("""COMPUTED_VALUE"""),"Mobile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обм"&amp;"ен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зака"&amp;"за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9" s="4" t="str">
        <f ca="1">IFERROR(__xludf.DUMMYFUNCTION("""COMPUTED_VALUE"""),"Mobile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</v>
      </c>
      <c r="F89" s="5">
        <f ca="1">IFERROR(__xludf.DUMMYFUNCTION("""COMPUTED_VALUE"""),14550)</f>
        <v>14550</v>
      </c>
    </row>
    <row r="90" spans="1:6" ht="86.25" customHeight="1" x14ac:dyDescent="0.2">
      <c r="A90" s="4" t="str">
        <f ca="1">IFERROR(__xludf.DUMMYFUNCTION("""COMPUTED_VALUE"""),"«1С: ERP Управление предприятием 2.5»")</f>
        <v>«1С: ERP Управление предприятием 2.5»</v>
      </c>
      <c r="B90" s="4" t="str">
        <f ca="1">IFERROR(__xludf.DUMMYFUNCTION("""COMPUTED_VALUE"""),"ПРОДУКТОВЫЙ, РАСШИРЕННЫЙ")</f>
        <v>ПРОДУКТОВЫЙ, РАСШИРЕННЫЙ</v>
      </c>
      <c r="C90" s="4" t="str">
        <f ca="1">IFERROR(__xludf.DUMMYFUNCTION("""COMPUTED_VALUE"""),"RTL15BG-1CERP25")</f>
        <v>RTL15BG-1CERP25</v>
      </c>
      <c r="D90" s="4" t="str">
        <f ca="1">IFERROR(__xludf.DUMMYFUNCTION("""COMPUTED_VALUE"""),"Mobile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или"&amp;"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"&amp;"заказа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"&amp;"ценах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0" s="4" t="str">
        <f ca="1">IFERROR(__xludf.DUMMYFUNCTION("""COMPUTED_VALUE"""),"Mobile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</v>
      </c>
      <c r="F90" s="5">
        <f ca="1">IFERROR(__xludf.DUMMYFUNCTION("""COMPUTED_VALUE"""),20950)</f>
        <v>20950</v>
      </c>
    </row>
    <row r="91" spans="1:6" ht="86.25" customHeight="1" x14ac:dyDescent="0.2">
      <c r="A91" s="4" t="str">
        <f ca="1">IFERROR(__xludf.DUMMYFUNCTION("""COMPUTED_VALUE"""),"«1С: ERP Управление предприятием 2.5»")</f>
        <v>«1С: ERP Управление предприятием 2.5»</v>
      </c>
      <c r="B91" s="4" t="str">
        <f ca="1">IFERROR(__xludf.DUMMYFUNCTION("""COMPUTED_VALUE"""),"ПРОДУКТОВЫЙ, МЕГАМАРКЕТ")</f>
        <v>ПРОДУКТОВЫЙ, МЕГАМАРКЕТ</v>
      </c>
      <c r="C91" s="4" t="str">
        <f ca="1">IFERROR(__xludf.DUMMYFUNCTION("""COMPUTED_VALUE"""),"RTL15CG-1CERP25")</f>
        <v>RTL15CG-1CERP25</v>
      </c>
      <c r="D91" s="4" t="str">
        <f ca="1">IFERROR(__xludf.DUMMYFUNCTION("""COMPUTED_VALUE"""),"Mobile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"&amp;"обмен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з"&amp;"аказа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контр"&amp;"агентах,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1" s="4" t="str">
        <f ca="1">IFERROR(__xludf.DUMMYFUNCTION("""COMPUTED_VALUE"""),"Mobile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</v>
      </c>
      <c r="F91" s="5">
        <f ca="1">IFERROR(__xludf.DUMMYFUNCTION("""COMPUTED_VALUE"""),28250)</f>
        <v>28250</v>
      </c>
    </row>
    <row r="92" spans="1:6" ht="86.25" customHeight="1" x14ac:dyDescent="0.2">
      <c r="A92" s="4" t="str">
        <f ca="1">IFERROR(__xludf.DUMMYFUNCTION("""COMPUTED_VALUE"""),"«1С: Комплексная автоматизация 2.0»")</f>
        <v>«1С: Комплексная автоматизация 2.0»</v>
      </c>
      <c r="B92" s="4" t="str">
        <f ca="1">IFERROR(__xludf.DUMMYFUNCTION("""COMPUTED_VALUE"""),"МИНИМУМ")</f>
        <v>МИНИМУМ</v>
      </c>
      <c r="C92" s="4" t="str">
        <f ca="1">IFERROR(__xludf.DUMMYFUNCTION("""COMPUTED_VALUE"""),"RTL15M-1CKA20")</f>
        <v>RTL15M-1CKA20</v>
      </c>
      <c r="D92" s="4" t="str">
        <f ca="1">IFERROR(__xludf.DUMMYFUNCTION("""COMPUTED_VALUE"""),"Mobile SMARTS: Магазин 15, МИНИМУМ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товаро"&amp;"в,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(од"&amp;"ин) год")</f>
        <v>Mobile SMARTS: Магазин 15, МИНИМУМ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2" s="4" t="str">
        <f ca="1">IFERROR(__xludf.DUMMYFUNCTION("""COMPUTED_VALUE"""),"Mobile SMARTS: Магазин 15, МИНИМУМ для «1С: Комплексная автоматизация 2.0», для работы с товаром по штрихкодам ")</f>
        <v xml:space="preserve">Mobile SMARTS: Магазин 15, МИНИМУМ для «1С: Комплексная автоматизация 2.0», для работы с товаром по штрихкодам </v>
      </c>
      <c r="F92" s="5">
        <f ca="1">IFERROR(__xludf.DUMMYFUNCTION("""COMPUTED_VALUE"""),3450)</f>
        <v>3450</v>
      </c>
    </row>
    <row r="93" spans="1:6" ht="86.25" customHeight="1" x14ac:dyDescent="0.2">
      <c r="A93" s="4" t="str">
        <f ca="1">IFERROR(__xludf.DUMMYFUNCTION("""COMPUTED_VALUE"""),"«1С: Комплексная автоматизация 2.0»")</f>
        <v>«1С: Комплексная автоматизация 2.0»</v>
      </c>
      <c r="B93" s="4" t="str">
        <f ca="1">IFERROR(__xludf.DUMMYFUNCTION("""COMPUTED_VALUE"""),"БАЗОВЫЙ")</f>
        <v>БАЗОВЫЙ</v>
      </c>
      <c r="C93" s="4" t="str">
        <f ca="1">IFERROR(__xludf.DUMMYFUNCTION("""COMPUTED_VALUE"""),"RTL15A-1CKA20")</f>
        <v>RTL15A-1CKA20</v>
      </c>
      <c r="D93" s="4" t="str">
        <f ca="1">IFERROR(__xludf.DUMMYFUNCTION("""COMPUTED_VALUE"""),"Mobile SMARTS: Магазин 15, БАЗОВЫЙ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3" s="4" t="str">
        <f ca="1">IFERROR(__xludf.DUMMYFUNCTION("""COMPUTED_VALUE"""),"Mobile SMARTS: Магазин 15, БАЗОВЫЙ для «1С: Комплексная автоматизация 2.0», для работы с товаром по штрихкодам ")</f>
        <v xml:space="preserve">Mobile SMARTS: Магазин 15, БАЗОВЫЙ для «1С: Комплексная автоматизация 2.0», для работы с товаром по штрихкодам </v>
      </c>
      <c r="F93" s="5">
        <f ca="1">IFERROR(__xludf.DUMMYFUNCTION("""COMPUTED_VALUE"""),8650)</f>
        <v>8650</v>
      </c>
    </row>
    <row r="94" spans="1:6" ht="86.25" customHeight="1" x14ac:dyDescent="0.2">
      <c r="A94" s="4" t="str">
        <f ca="1">IFERROR(__xludf.DUMMYFUNCTION("""COMPUTED_VALUE"""),"«1С: Комплексная автоматизация 2.0»")</f>
        <v>«1С: Комплексная автоматизация 2.0»</v>
      </c>
      <c r="B94" s="4" t="str">
        <f ca="1">IFERROR(__xludf.DUMMYFUNCTION("""COMPUTED_VALUE"""),"РАСШИРЕННЫЙ")</f>
        <v>РАСШИРЕННЫЙ</v>
      </c>
      <c r="C94" s="4" t="str">
        <f ca="1">IFERROR(__xludf.DUMMYFUNCTION("""COMPUTED_VALUE"""),"RTL15B-1CKA20")</f>
        <v>RTL15B-1CKA20</v>
      </c>
      <c r="D94" s="4" t="str">
        <f ca="1">IFERROR(__xludf.DUMMYFUNCTION("""COMPUTED_VALUE"""),"Mobile SMARTS: Магазин 15, РАСШИРЕННЫЙ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4" s="4" t="str">
        <f ca="1">IFERROR(__xludf.DUMMYFUNCTION("""COMPUTED_VALUE"""),"Mobile SMARTS: Магазин 15, РАСШИРЕННЫЙ для «1С: Комплексная автоматизация 2.0», для работы с товаром по штрихкодам ")</f>
        <v xml:space="preserve">Mobile SMARTS: Магазин 15, РАСШИРЕННЫЙ для «1С: Комплексная автоматизация 2.0», для работы с товаром по штрихкодам </v>
      </c>
      <c r="F94" s="5">
        <f ca="1">IFERROR(__xludf.DUMMYFUNCTION("""COMPUTED_VALUE"""),15050)</f>
        <v>15050</v>
      </c>
    </row>
    <row r="95" spans="1:6" ht="86.25" customHeight="1" x14ac:dyDescent="0.2">
      <c r="A95" s="4" t="str">
        <f ca="1">IFERROR(__xludf.DUMMYFUNCTION("""COMPUTED_VALUE"""),"«1С: Комплексная автоматизация 2.0»")</f>
        <v>«1С: Комплексная автоматизация 2.0»</v>
      </c>
      <c r="B95" s="4" t="str">
        <f ca="1">IFERROR(__xludf.DUMMYFUNCTION("""COMPUTED_VALUE"""),"МЕГАМАРКЕТ")</f>
        <v>МЕГАМАРКЕТ</v>
      </c>
      <c r="C95" s="4" t="str">
        <f ca="1">IFERROR(__xludf.DUMMYFUNCTION("""COMPUTED_VALUE"""),"RTL15C-1CKA20")</f>
        <v>RTL15C-1CKA20</v>
      </c>
      <c r="D95" s="4" t="str">
        <f ca="1">IFERROR(__xludf.DUMMYFUNCTION("""COMPUTED_VALUE"""),"Mobile SMARTS: Магазин 15, МЕГАМАРКЕТ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5" s="4" t="str">
        <f ca="1">IFERROR(__xludf.DUMMYFUNCTION("""COMPUTED_VALUE"""),"Mobile SMARTS: Магазин 15, МЕГАМАРКЕТ для «1С: Комплексная автоматизация 2.0», для работы с товаром по штрихкодам ")</f>
        <v xml:space="preserve">Mobile SMARTS: Магазин 15, МЕГАМАРКЕТ для «1С: Комплексная автоматизация 2.0», для работы с товаром по штрихкодам </v>
      </c>
      <c r="F95" s="5">
        <f ca="1">IFERROR(__xludf.DUMMYFUNCTION("""COMPUTED_VALUE"""),21550)</f>
        <v>21550</v>
      </c>
    </row>
    <row r="96" spans="1:6" ht="86.25" customHeight="1" x14ac:dyDescent="0.2">
      <c r="A96" s="4" t="str">
        <f ca="1">IFERROR(__xludf.DUMMYFUNCTION("""COMPUTED_VALUE"""),"«1С: Комплексная автоматизация 2.0»")</f>
        <v>«1С: Комплексная автоматизация 2.0»</v>
      </c>
      <c r="B96" s="4" t="str">
        <f ca="1">IFERROR(__xludf.DUMMYFUNCTION("""COMPUTED_VALUE"""),"с ЕГАИС, БАЗОВЫЙ")</f>
        <v>с ЕГАИС, БАЗОВЫЙ</v>
      </c>
      <c r="C96" s="4" t="str">
        <f ca="1">IFERROR(__xludf.DUMMYFUNCTION("""COMPUTED_VALUE"""),"RTL15AE-1CKA20")</f>
        <v>RTL15AE-1CKA20</v>
      </c>
      <c r="D96" s="4" t="str">
        <f ca="1">IFERROR(__xludf.DUMMYFUNCTION("""COMPUTED_VALUE"""),"Mobile SMARTS: Магазин 15 с ЕГАИС, БАЗОВЫЙ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6" s="4" t="str">
        <f ca="1">IFERROR(__xludf.DUMMYFUNCTION("""COMPUTED_VALUE"""),"Mobile SMARTS: Магазин 15 с ЕГАИС, БАЗОВЫЙ для «1С: Комплексная автоматизация 2.0», для работы с маркированным товаром: алкоголь ЕГАИС и товары по штрихкодам ")</f>
        <v xml:space="preserve">Mobile SMARTS: Магазин 15 с ЕГАИС, БАЗОВЫЙ для «1С: Комплексная автоматизация 2.0», для работы с маркированным товаром: алкоголь ЕГАИС и товары по штрихкодам </v>
      </c>
      <c r="F96" s="5">
        <f ca="1">IFERROR(__xludf.DUMMYFUNCTION("""COMPUTED_VALUE"""),11000)</f>
        <v>11000</v>
      </c>
    </row>
    <row r="97" spans="1:6" ht="86.25" customHeight="1" x14ac:dyDescent="0.2">
      <c r="A97" s="4" t="str">
        <f ca="1">IFERROR(__xludf.DUMMYFUNCTION("""COMPUTED_VALUE"""),"«1С: Комплексная автоматизация 2.0»")</f>
        <v>«1С: Комплексная автоматизация 2.0»</v>
      </c>
      <c r="B97" s="4" t="str">
        <f ca="1">IFERROR(__xludf.DUMMYFUNCTION("""COMPUTED_VALUE"""),"с ЕГАИС, РАСШИРЕННЫЙ")</f>
        <v>с ЕГАИС, РАСШИРЕННЫЙ</v>
      </c>
      <c r="C97" s="4" t="str">
        <f ca="1">IFERROR(__xludf.DUMMYFUNCTION("""COMPUTED_VALUE"""),"RTL15BE-1CKA20")</f>
        <v>RTL15BE-1CKA20</v>
      </c>
      <c r="D97" s="4" t="str">
        <f ca="1">IFERROR(__xludf.DUMMYFUNCTION("""COMPUTED_VALUE"""),"Mobile SMARTS: Магазин 15 с ЕГАИС, РАСШИРЕННЫЙ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7" s="4" t="str">
        <f ca="1">IFERROR(__xludf.DUMMYFUNCTION("""COMPUTED_VALUE"""),"Mobile SMARTS: Магазин 15 с ЕГАИС, РАСШИРЕННЫЙ для «1С: Комплексная автоматизация 2.0», для работы с маркированным товаром: алкоголь ЕГАИС и товары по штрихкодам ")</f>
        <v xml:space="preserve">Mobile SMARTS: Магазин 15 с ЕГАИС, РАСШИРЕННЫЙ для «1С: Комплексная автоматизация 2.0», для работы с маркированным товаром: алкоголь ЕГАИС и товары по штрихкодам </v>
      </c>
      <c r="F97" s="5">
        <f ca="1">IFERROR(__xludf.DUMMYFUNCTION("""COMPUTED_VALUE"""),17450)</f>
        <v>17450</v>
      </c>
    </row>
    <row r="98" spans="1:6" ht="86.25" customHeight="1" x14ac:dyDescent="0.2">
      <c r="A98" s="4" t="str">
        <f ca="1">IFERROR(__xludf.DUMMYFUNCTION("""COMPUTED_VALUE"""),"«1С: Комплексная автоматизация 2.0»")</f>
        <v>«1С: Комплексная автоматизация 2.0»</v>
      </c>
      <c r="B98" s="4" t="str">
        <f ca="1">IFERROR(__xludf.DUMMYFUNCTION("""COMPUTED_VALUE"""),"с ЕГАИС (без CheckMark2), МЕГАМАРКЕТ")</f>
        <v>с ЕГАИС (без CheckMark2), МЕГАМАРКЕТ</v>
      </c>
      <c r="C98" s="4" t="str">
        <f ca="1">IFERROR(__xludf.DUMMYFUNCTION("""COMPUTED_VALUE"""),"RTL15CEV-1CKA20")</f>
        <v>RTL15CEV-1CKA20</v>
      </c>
      <c r="D98" s="4" t="str">
        <f ca="1">IFERROR(__xludf.DUMMYFUNCTION("""COMPUTED_VALUE"""),"Mobile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д"&amp;"оступные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ра"&amp;"бота,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об"&amp;"мен через Интернет на 1 (один) год")</f>
        <v>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8" s="4" t="str">
        <f ca="1">IFERROR(__xludf.DUMMYFUNCTION("""COMPUTED_VALUE"""),"Mobile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</v>
      </c>
      <c r="F98" s="5">
        <f ca="1">IFERROR(__xludf.DUMMYFUNCTION("""COMPUTED_VALUE"""),23850)</f>
        <v>23850</v>
      </c>
    </row>
    <row r="99" spans="1:6" ht="86.25" customHeight="1" x14ac:dyDescent="0.2">
      <c r="A99" s="4" t="str">
        <f ca="1">IFERROR(__xludf.DUMMYFUNCTION("""COMPUTED_VALUE"""),"«1С: Комплексная автоматизация 2.2»")</f>
        <v>«1С: Комплексная автоматизация 2.2»</v>
      </c>
      <c r="B99" s="4" t="str">
        <f ca="1">IFERROR(__xludf.DUMMYFUNCTION("""COMPUTED_VALUE"""),"МИНИМУМ")</f>
        <v>МИНИМУМ</v>
      </c>
      <c r="C99" s="4" t="str">
        <f ca="1">IFERROR(__xludf.DUMMYFUNCTION("""COMPUTED_VALUE"""),"RTL15M-1CKA22")</f>
        <v>RTL15M-1CKA22</v>
      </c>
      <c r="D99" s="4" t="str">
        <f ca="1">IFERROR(__xludf.DUMMYFUNCTION("""COMPUTED_VALUE"""),"Mobile SMARTS: Магазин 15, МИНИМУМ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товаро"&amp;"в,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(од"&amp;"ин) год")</f>
        <v>Mobile SMARTS: Магазин 15, МИНИМУМ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9" s="4" t="str">
        <f ca="1">IFERROR(__xludf.DUMMYFUNCTION("""COMPUTED_VALUE"""),"Mobile SMARTS: Магазин 15, МИНИМУМ для «1С: Комплексная автоматизация 2.2», для работы с товаром по штрихкодам ")</f>
        <v xml:space="preserve">Mobile SMARTS: Магазин 15, МИНИМУМ для «1С: Комплексная автоматизация 2.2», для работы с товаром по штрихкодам </v>
      </c>
      <c r="F99" s="5">
        <f ca="1">IFERROR(__xludf.DUMMYFUNCTION("""COMPUTED_VALUE"""),3450)</f>
        <v>3450</v>
      </c>
    </row>
    <row r="100" spans="1:6" ht="86.25" customHeight="1" x14ac:dyDescent="0.2">
      <c r="A100" s="4" t="str">
        <f ca="1">IFERROR(__xludf.DUMMYFUNCTION("""COMPUTED_VALUE"""),"«1С: Комплексная автоматизация 2.2»")</f>
        <v>«1С: Комплексная автоматизация 2.2»</v>
      </c>
      <c r="B100" s="4" t="str">
        <f ca="1">IFERROR(__xludf.DUMMYFUNCTION("""COMPUTED_VALUE"""),"БАЗОВЫЙ")</f>
        <v>БАЗОВЫЙ</v>
      </c>
      <c r="C100" s="4" t="str">
        <f ca="1">IFERROR(__xludf.DUMMYFUNCTION("""COMPUTED_VALUE"""),"RTL15A-1CKA22")</f>
        <v>RTL15A-1CKA22</v>
      </c>
      <c r="D100" s="4" t="str">
        <f ca="1">IFERROR(__xludf.DUMMYFUNCTION("""COMPUTED_VALUE"""),"Mobile SMARTS: Магазин 15, БАЗОВЫЙ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0" s="4" t="str">
        <f ca="1">IFERROR(__xludf.DUMMYFUNCTION("""COMPUTED_VALUE"""),"Mobile SMARTS: Магазин 15, БАЗОВЫЙ для «1С: Комплексная автоматизация 2.2», для работы с товаром по штрихкодам ")</f>
        <v xml:space="preserve">Mobile SMARTS: Магазин 15, БАЗОВЫЙ для «1С: Комплексная автоматизация 2.2», для работы с товаром по штрихкодам </v>
      </c>
      <c r="F100" s="5">
        <f ca="1">IFERROR(__xludf.DUMMYFUNCTION("""COMPUTED_VALUE"""),8650)</f>
        <v>8650</v>
      </c>
    </row>
    <row r="101" spans="1:6" ht="86.25" customHeight="1" x14ac:dyDescent="0.2">
      <c r="A101" s="4" t="str">
        <f ca="1">IFERROR(__xludf.DUMMYFUNCTION("""COMPUTED_VALUE"""),"«1С: Комплексная автоматизация 2.2»")</f>
        <v>«1С: Комплексная автоматизация 2.2»</v>
      </c>
      <c r="B101" s="4" t="str">
        <f ca="1">IFERROR(__xludf.DUMMYFUNCTION("""COMPUTED_VALUE"""),"РАСШИРЕННЫЙ")</f>
        <v>РАСШИРЕННЫЙ</v>
      </c>
      <c r="C101" s="4" t="str">
        <f ca="1">IFERROR(__xludf.DUMMYFUNCTION("""COMPUTED_VALUE"""),"RTL15B-1CKA22")</f>
        <v>RTL15B-1CKA22</v>
      </c>
      <c r="D101" s="4" t="str">
        <f ca="1">IFERROR(__xludf.DUMMYFUNCTION("""COMPUTED_VALUE"""),"Mobile SMARTS: Магазин 15, РАСШИРЕННЫЙ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1" s="4" t="str">
        <f ca="1">IFERROR(__xludf.DUMMYFUNCTION("""COMPUTED_VALUE"""),"Mobile SMARTS: Магазин 15, РАСШИРЕННЫЙ для «1С: Комплексная автоматизация 2.2», для работы с товаром по штрихкодам ")</f>
        <v xml:space="preserve">Mobile SMARTS: Магазин 15, РАСШИРЕННЫЙ для «1С: Комплексная автоматизация 2.2», для работы с товаром по штрихкодам </v>
      </c>
      <c r="F101" s="5">
        <f ca="1">IFERROR(__xludf.DUMMYFUNCTION("""COMPUTED_VALUE"""),15050)</f>
        <v>15050</v>
      </c>
    </row>
    <row r="102" spans="1:6" ht="86.25" customHeight="1" x14ac:dyDescent="0.2">
      <c r="A102" s="4" t="str">
        <f ca="1">IFERROR(__xludf.DUMMYFUNCTION("""COMPUTED_VALUE"""),"«1С: Комплексная автоматизация 2.2»")</f>
        <v>«1С: Комплексная автоматизация 2.2»</v>
      </c>
      <c r="B102" s="4" t="str">
        <f ca="1">IFERROR(__xludf.DUMMYFUNCTION("""COMPUTED_VALUE"""),"МЕГАМАРКЕТ")</f>
        <v>МЕГАМАРКЕТ</v>
      </c>
      <c r="C102" s="4" t="str">
        <f ca="1">IFERROR(__xludf.DUMMYFUNCTION("""COMPUTED_VALUE"""),"RTL15C-1CKA22")</f>
        <v>RTL15C-1CKA22</v>
      </c>
      <c r="D102" s="4" t="str">
        <f ca="1">IFERROR(__xludf.DUMMYFUNCTION("""COMPUTED_VALUE"""),"Mobile SMARTS: Магазин 15, МЕГАМАРКЕТ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2" s="4" t="str">
        <f ca="1">IFERROR(__xludf.DUMMYFUNCTION("""COMPUTED_VALUE"""),"Mobile SMARTS: Магазин 15, МЕГАМАРКЕТ для «1С: Комплексная автоматизация 2.2», для работы с товаром по штрихкодам ")</f>
        <v xml:space="preserve">Mobile SMARTS: Магазин 15, МЕГАМАРКЕТ для «1С: Комплексная автоматизация 2.2», для работы с товаром по штрихкодам </v>
      </c>
      <c r="F102" s="5">
        <f ca="1">IFERROR(__xludf.DUMMYFUNCTION("""COMPUTED_VALUE"""),21550)</f>
        <v>21550</v>
      </c>
    </row>
    <row r="103" spans="1:6" ht="86.25" customHeight="1" x14ac:dyDescent="0.2">
      <c r="A103" s="4" t="str">
        <f ca="1">IFERROR(__xludf.DUMMYFUNCTION("""COMPUTED_VALUE"""),"«1С: Комплексная автоматизация 2.2»")</f>
        <v>«1С: Комплексная автоматизация 2.2»</v>
      </c>
      <c r="B103" s="4" t="str">
        <f ca="1">IFERROR(__xludf.DUMMYFUNCTION("""COMPUTED_VALUE"""),"с ЕГАИС, БАЗОВЫЙ")</f>
        <v>с ЕГАИС, БАЗОВЫЙ</v>
      </c>
      <c r="C103" s="4" t="str">
        <f ca="1">IFERROR(__xludf.DUMMYFUNCTION("""COMPUTED_VALUE"""),"RTL15AE-1CKA22")</f>
        <v>RTL15AE-1CKA22</v>
      </c>
      <c r="D103" s="4" t="str">
        <f ca="1">IFERROR(__xludf.DUMMYFUNCTION("""COMPUTED_VALUE"""),"Mobile SMARTS: Магазин 15 с ЕГАИС, БАЗОВЫЙ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03" s="4" t="str">
        <f ca="1">IFERROR(__xludf.DUMMYFUNCTION("""COMPUTED_VALUE"""),"Mobile SMARTS: Магазин 15 с ЕГАИС, БАЗОВЫЙ для «1С: Комплексная автоматизация 2.2», для работы с маркированным товаром: алкоголь ЕГАИС и товары по штрихкодам ")</f>
        <v xml:space="preserve">Mobile SMARTS: Магазин 15 с ЕГАИС, БАЗОВЫЙ для «1С: Комплексная автоматизация 2.2», для работы с маркированным товаром: алкоголь ЕГАИС и товары по штрихкодам </v>
      </c>
      <c r="F103" s="5">
        <f ca="1">IFERROR(__xludf.DUMMYFUNCTION("""COMPUTED_VALUE"""),11000)</f>
        <v>11000</v>
      </c>
    </row>
    <row r="104" spans="1:6" ht="86.25" customHeight="1" x14ac:dyDescent="0.2">
      <c r="A104" s="4" t="str">
        <f ca="1">IFERROR(__xludf.DUMMYFUNCTION("""COMPUTED_VALUE"""),"«1С: Комплексная автоматизация 2.2»")</f>
        <v>«1С: Комплексная автоматизация 2.2»</v>
      </c>
      <c r="B104" s="4" t="str">
        <f ca="1">IFERROR(__xludf.DUMMYFUNCTION("""COMPUTED_VALUE"""),"с ЕГАИС, РАСШИРЕННЫЙ")</f>
        <v>с ЕГАИС, РАСШИРЕННЫЙ</v>
      </c>
      <c r="C104" s="4" t="str">
        <f ca="1">IFERROR(__xludf.DUMMYFUNCTION("""COMPUTED_VALUE"""),"RTL15BE-1CKA22")</f>
        <v>RTL15BE-1CKA22</v>
      </c>
      <c r="D104" s="4" t="str">
        <f ca="1">IFERROR(__xludf.DUMMYFUNCTION("""COMPUTED_VALUE"""),"Mobile SMARTS: Магазин 15 с ЕГАИС, РАСШИРЕННЫЙ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4" s="4" t="str">
        <f ca="1">IFERROR(__xludf.DUMMYFUNCTION("""COMPUTED_VALUE"""),"Mobile SMARTS: Магазин 15 с ЕГАИС, РАСШИРЕННЫЙ для «1С: Комплексная автоматизация 2.2», для работы с маркированным товаром: алкоголь ЕГАИС и товары по штрихкодам ")</f>
        <v xml:space="preserve">Mobile SMARTS: Магазин 15 с ЕГАИС, РАСШИРЕННЫЙ для «1С: Комплексная автоматизация 2.2», для работы с маркированным товаром: алкоголь ЕГАИС и товары по штрихкодам </v>
      </c>
      <c r="F104" s="5">
        <f ca="1">IFERROR(__xludf.DUMMYFUNCTION("""COMPUTED_VALUE"""),17450)</f>
        <v>17450</v>
      </c>
    </row>
    <row r="105" spans="1:6" ht="86.25" customHeight="1" x14ac:dyDescent="0.2">
      <c r="A105" s="4" t="str">
        <f ca="1">IFERROR(__xludf.DUMMYFUNCTION("""COMPUTED_VALUE"""),"«1С: Комплексная автоматизация 2.2»")</f>
        <v>«1С: Комплексная автоматизация 2.2»</v>
      </c>
      <c r="B105" s="4" t="str">
        <f ca="1">IFERROR(__xludf.DUMMYFUNCTION("""COMPUTED_VALUE"""),"с ЕГАИС (без CheckMark2), МЕГАМАРКЕТ")</f>
        <v>с ЕГАИС (без CheckMark2), МЕГАМАРКЕТ</v>
      </c>
      <c r="C105" s="4" t="str">
        <f ca="1">IFERROR(__xludf.DUMMYFUNCTION("""COMPUTED_VALUE"""),"RTL15CEV-1CKA22")</f>
        <v>RTL15CEV-1CKA22</v>
      </c>
      <c r="D105" s="4" t="str">
        <f ca="1">IFERROR(__xludf.DUMMYFUNCTION("""COMPUTED_VALUE"""),"Mobile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д"&amp;"оступные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ра"&amp;"бота,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об"&amp;"мен через Интернет на 1 (один) год")</f>
        <v>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5" s="4" t="str">
        <f ca="1">IFERROR(__xludf.DUMMYFUNCTION("""COMPUTED_VALUE"""),"Mobile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</v>
      </c>
      <c r="F105" s="5">
        <f ca="1">IFERROR(__xludf.DUMMYFUNCTION("""COMPUTED_VALUE"""),23850)</f>
        <v>23850</v>
      </c>
    </row>
    <row r="106" spans="1:6" ht="86.25" customHeight="1" x14ac:dyDescent="0.2">
      <c r="A106" s="4" t="str">
        <f ca="1">IFERROR(__xludf.DUMMYFUNCTION("""COMPUTED_VALUE"""),"«1С: Комплексная автоматизация 2.4»")</f>
        <v>«1С: Комплексная автоматизация 2.4»</v>
      </c>
      <c r="B106" s="4" t="str">
        <f ca="1">IFERROR(__xludf.DUMMYFUNCTION("""COMPUTED_VALUE"""),"МИНИМУМ")</f>
        <v>МИНИМУМ</v>
      </c>
      <c r="C106" s="4" t="str">
        <f ca="1">IFERROR(__xludf.DUMMYFUNCTION("""COMPUTED_VALUE"""),"RTL15M-1CKA24")</f>
        <v>RTL15M-1CKA24</v>
      </c>
      <c r="D106" s="4" t="str">
        <f ca="1">IFERROR(__xludf.DUMMYFUNCTION("""COMPUTED_VALUE"""),"Mobile SMARTS: Магазин 15, МИНИМУМ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товаро"&amp;"в,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(од"&amp;"ин) год")</f>
        <v>Mobile SMARTS: Магазин 15, МИНИМУМ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06" s="4" t="str">
        <f ca="1">IFERROR(__xludf.DUMMYFUNCTION("""COMPUTED_VALUE"""),"Mobile SMARTS: Магазин 15, МИНИМУМ для «1С: Комплексная автоматизация 2.4», для работы с товаром по штрихкодам ")</f>
        <v xml:space="preserve">Mobile SMARTS: Магазин 15, МИНИМУМ для «1С: Комплексная автоматизация 2.4», для работы с товаром по штрихкодам </v>
      </c>
      <c r="F106" s="5">
        <f ca="1">IFERROR(__xludf.DUMMYFUNCTION("""COMPUTED_VALUE"""),3450)</f>
        <v>3450</v>
      </c>
    </row>
    <row r="107" spans="1:6" ht="86.25" customHeight="1" x14ac:dyDescent="0.2">
      <c r="A107" s="4" t="str">
        <f ca="1">IFERROR(__xludf.DUMMYFUNCTION("""COMPUTED_VALUE"""),"«1С: Комплексная автоматизация 2.4»")</f>
        <v>«1С: Комплексная автоматизация 2.4»</v>
      </c>
      <c r="B107" s="4" t="str">
        <f ca="1">IFERROR(__xludf.DUMMYFUNCTION("""COMPUTED_VALUE"""),"БАЗОВЫЙ")</f>
        <v>БАЗОВЫЙ</v>
      </c>
      <c r="C107" s="4" t="str">
        <f ca="1">IFERROR(__xludf.DUMMYFUNCTION("""COMPUTED_VALUE"""),"RTL15A-1CKA24")</f>
        <v>RTL15A-1CKA24</v>
      </c>
      <c r="D107" s="4" t="str">
        <f ca="1">IFERROR(__xludf.DUMMYFUNCTION("""COMPUTED_VALUE"""),"Mobile SMARTS: Магазин 15, БАЗОВЫЙ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7" s="4" t="str">
        <f ca="1">IFERROR(__xludf.DUMMYFUNCTION("""COMPUTED_VALUE"""),"Mobile SMARTS: Магазин 15, БАЗОВЫЙ для «1С: Комплексная автоматизация 2.4», для работы с товаром по штрихкодам ")</f>
        <v xml:space="preserve">Mobile SMARTS: Магазин 15, БАЗОВЫЙ для «1С: Комплексная автоматизация 2.4», для работы с товаром по штрихкодам </v>
      </c>
      <c r="F107" s="5">
        <f ca="1">IFERROR(__xludf.DUMMYFUNCTION("""COMPUTED_VALUE"""),8650)</f>
        <v>8650</v>
      </c>
    </row>
    <row r="108" spans="1:6" ht="86.25" customHeight="1" x14ac:dyDescent="0.2">
      <c r="A108" s="4" t="str">
        <f ca="1">IFERROR(__xludf.DUMMYFUNCTION("""COMPUTED_VALUE"""),"«1С: Комплексная автоматизация 2.4»")</f>
        <v>«1С: Комплексная автоматизация 2.4»</v>
      </c>
      <c r="B108" s="4" t="str">
        <f ca="1">IFERROR(__xludf.DUMMYFUNCTION("""COMPUTED_VALUE"""),"РАСШИРЕННЫЙ")</f>
        <v>РАСШИРЕННЫЙ</v>
      </c>
      <c r="C108" s="4" t="str">
        <f ca="1">IFERROR(__xludf.DUMMYFUNCTION("""COMPUTED_VALUE"""),"RTL15B-1CKA24")</f>
        <v>RTL15B-1CKA24</v>
      </c>
      <c r="D108" s="4" t="str">
        <f ca="1">IFERROR(__xludf.DUMMYFUNCTION("""COMPUTED_VALUE"""),"Mobile SMARTS: Магазин 15, РАСШИРЕННЫЙ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8" s="4" t="str">
        <f ca="1">IFERROR(__xludf.DUMMYFUNCTION("""COMPUTED_VALUE"""),"Mobile SMARTS: Магазин 15, РАСШИРЕННЫЙ для «1С: Комплексная автоматизация 2.4», для работы с товаром по штрихкодам ")</f>
        <v xml:space="preserve">Mobile SMARTS: Магазин 15, РАСШИРЕННЫЙ для «1С: Комплексная автоматизация 2.4», для работы с товаром по штрихкодам </v>
      </c>
      <c r="F108" s="5">
        <f ca="1">IFERROR(__xludf.DUMMYFUNCTION("""COMPUTED_VALUE"""),15050)</f>
        <v>15050</v>
      </c>
    </row>
    <row r="109" spans="1:6" ht="86.25" customHeight="1" x14ac:dyDescent="0.2">
      <c r="A109" s="4" t="str">
        <f ca="1">IFERROR(__xludf.DUMMYFUNCTION("""COMPUTED_VALUE"""),"«1С: Комплексная автоматизация 2.4»")</f>
        <v>«1С: Комплексная автоматизация 2.4»</v>
      </c>
      <c r="B109" s="4" t="str">
        <f ca="1">IFERROR(__xludf.DUMMYFUNCTION("""COMPUTED_VALUE"""),"МЕГАМАРКЕТ")</f>
        <v>МЕГАМАРКЕТ</v>
      </c>
      <c r="C109" s="4" t="str">
        <f ca="1">IFERROR(__xludf.DUMMYFUNCTION("""COMPUTED_VALUE"""),"RTL15C-1CKA24")</f>
        <v>RTL15C-1CKA24</v>
      </c>
      <c r="D109" s="4" t="str">
        <f ca="1">IFERROR(__xludf.DUMMYFUNCTION("""COMPUTED_VALUE"""),"Mobile SMARTS: Магазин 15, МЕГАМАРКЕТ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9" s="4" t="str">
        <f ca="1">IFERROR(__xludf.DUMMYFUNCTION("""COMPUTED_VALUE"""),"Mobile SMARTS: Магазин 15, МЕГАМАРКЕТ для «1С: Комплексная автоматизация 2.4», для работы с товаром по штрихкодам ")</f>
        <v xml:space="preserve">Mobile SMARTS: Магазин 15, МЕГАМАРКЕТ для «1С: Комплексная автоматизация 2.4», для работы с товаром по штрихкодам </v>
      </c>
      <c r="F109" s="5">
        <f ca="1">IFERROR(__xludf.DUMMYFUNCTION("""COMPUTED_VALUE"""),21550)</f>
        <v>21550</v>
      </c>
    </row>
    <row r="110" spans="1:6" ht="86.25" customHeight="1" x14ac:dyDescent="0.2">
      <c r="A110" s="4" t="str">
        <f ca="1">IFERROR(__xludf.DUMMYFUNCTION("""COMPUTED_VALUE"""),"«1С: Комплексная автоматизация 2.4»")</f>
        <v>«1С: Комплексная автоматизация 2.4»</v>
      </c>
      <c r="B110" s="4" t="str">
        <f ca="1">IFERROR(__xludf.DUMMYFUNCTION("""COMPUTED_VALUE"""),"с ЕГАИС, БАЗОВЫЙ")</f>
        <v>с ЕГАИС, БАЗОВЫЙ</v>
      </c>
      <c r="C110" s="4" t="str">
        <f ca="1">IFERROR(__xludf.DUMMYFUNCTION("""COMPUTED_VALUE"""),"RTL15AE-1CKA24")</f>
        <v>RTL15AE-1CKA24</v>
      </c>
      <c r="D110" s="4" t="str">
        <f ca="1">IFERROR(__xludf.DUMMYFUNCTION("""COMPUTED_VALUE"""),"Mobile SMARTS: Магазин 15 с ЕГАИС, БАЗОВЫЙ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10" s="4" t="str">
        <f ca="1">IFERROR(__xludf.DUMMYFUNCTION("""COMPUTED_VALUE"""),"Mobile SMARTS: Магазин 15 с ЕГАИС, БАЗОВЫЙ для «1С: Комплексная автоматизация 2.4», для работы с маркированным товаром: алкоголь ЕГАИС и товары по штрихкодам ")</f>
        <v xml:space="preserve">Mobile SMARTS: Магазин 15 с ЕГАИС, БАЗОВЫЙ для «1С: Комплексная автоматизация 2.4», для работы с маркированным товаром: алкоголь ЕГАИС и товары по штрихкодам </v>
      </c>
      <c r="F110" s="5">
        <f ca="1">IFERROR(__xludf.DUMMYFUNCTION("""COMPUTED_VALUE"""),11000)</f>
        <v>11000</v>
      </c>
    </row>
    <row r="111" spans="1:6" ht="86.25" customHeight="1" x14ac:dyDescent="0.2">
      <c r="A111" s="4" t="str">
        <f ca="1">IFERROR(__xludf.DUMMYFUNCTION("""COMPUTED_VALUE"""),"«1С: Комплексная автоматизация 2.4»")</f>
        <v>«1С: Комплексная автоматизация 2.4»</v>
      </c>
      <c r="B111" s="4" t="str">
        <f ca="1">IFERROR(__xludf.DUMMYFUNCTION("""COMPUTED_VALUE"""),"с ЕГАИС, РАСШИРЕННЫЙ")</f>
        <v>с ЕГАИС, РАСШИРЕННЫЙ</v>
      </c>
      <c r="C111" s="4" t="str">
        <f ca="1">IFERROR(__xludf.DUMMYFUNCTION("""COMPUTED_VALUE"""),"RTL15BE-1CKA24")</f>
        <v>RTL15BE-1CKA24</v>
      </c>
      <c r="D111" s="4" t="str">
        <f ca="1">IFERROR(__xludf.DUMMYFUNCTION("""COMPUTED_VALUE"""),"Mobile SMARTS: Магазин 15 с ЕГАИС, РАСШИРЕННЫЙ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1" s="4" t="str">
        <f ca="1">IFERROR(__xludf.DUMMYFUNCTION("""COMPUTED_VALUE"""),"Mobile SMARTS: Магазин 15 с ЕГАИС, РАСШИРЕННЫЙ для «1С: Комплексная автоматизация 2.4», для работы с маркированным товаром: алкоголь ЕГАИС и товары по штрихкодам ")</f>
        <v xml:space="preserve">Mobile SMARTS: Магазин 15 с ЕГАИС, РАСШИРЕННЫЙ для «1С: Комплексная автоматизация 2.4», для работы с маркированным товаром: алкоголь ЕГАИС и товары по штрихкодам </v>
      </c>
      <c r="F111" s="5">
        <f ca="1">IFERROR(__xludf.DUMMYFUNCTION("""COMPUTED_VALUE"""),17450)</f>
        <v>17450</v>
      </c>
    </row>
    <row r="112" spans="1:6" ht="86.25" customHeight="1" x14ac:dyDescent="0.2">
      <c r="A112" s="4" t="str">
        <f ca="1">IFERROR(__xludf.DUMMYFUNCTION("""COMPUTED_VALUE"""),"«1С: Комплексная автоматизация 2.4»")</f>
        <v>«1С: Комплексная автоматизация 2.4»</v>
      </c>
      <c r="B112" s="4" t="str">
        <f ca="1">IFERROR(__xludf.DUMMYFUNCTION("""COMPUTED_VALUE"""),"с ЕГАИС (без CheckMark2), МЕГАМАРКЕТ")</f>
        <v>с ЕГАИС (без CheckMark2), МЕГАМАРКЕТ</v>
      </c>
      <c r="C112" s="4" t="str">
        <f ca="1">IFERROR(__xludf.DUMMYFUNCTION("""COMPUTED_VALUE"""),"RTL15CEV-1CKA24")</f>
        <v>RTL15CEV-1CKA24</v>
      </c>
      <c r="D112" s="4" t="str">
        <f ca="1">IFERROR(__xludf.DUMMYFUNCTION("""COMPUTED_VALUE"""),"Mobile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д"&amp;"оступные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ра"&amp;"бота,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об"&amp;"мен через Интернет на 1 (один) год")</f>
        <v>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2" s="4" t="str">
        <f ca="1">IFERROR(__xludf.DUMMYFUNCTION("""COMPUTED_VALUE"""),"Mobile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</v>
      </c>
      <c r="F112" s="5">
        <f ca="1">IFERROR(__xludf.DUMMYFUNCTION("""COMPUTED_VALUE"""),23850)</f>
        <v>23850</v>
      </c>
    </row>
    <row r="113" spans="1:6" ht="86.25" customHeight="1" x14ac:dyDescent="0.2">
      <c r="A113" s="4" t="str">
        <f ca="1">IFERROR(__xludf.DUMMYFUNCTION("""COMPUTED_VALUE"""),"«1С: Комплексная автоматизация 2.4.11»")</f>
        <v>«1С: Комплексная автоматизация 2.4.11»</v>
      </c>
      <c r="B113" s="4" t="str">
        <f ca="1">IFERROR(__xludf.DUMMYFUNCTION("""COMPUTED_VALUE"""),"с МОТП, БАЗОВЫЙ")</f>
        <v>с МОТП, БАЗОВЫЙ</v>
      </c>
      <c r="C113" s="4" t="str">
        <f ca="1">IFERROR(__xludf.DUMMYFUNCTION("""COMPUTED_VALUE"""),"RTL15AT-1CKA24")</f>
        <v>RTL15AT-1CKA24</v>
      </c>
      <c r="D113" s="4" t="str">
        <f ca="1">IFERROR(__xludf.DUMMYFUNCTION("""COMPUTED_VALUE"""),"Mobile SMARTS: Магазин 15 с МОТП, БАЗОВЫЙ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поступле"&amp;"ние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информа"&amp;"ция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3" s="4" t="str">
        <f ca="1">IFERROR(__xludf.DUMMYFUNCTION("""COMPUTED_VALUE"""),"Mobile SMARTS: Магазин 15 с МОТП, БАЗОВЫЙ для «1С: Комплексная автоматизация 2.4.11», для работы с маркированным товаром: ТАБАК и товары по штрихкодам ")</f>
        <v xml:space="preserve">Mobile SMARTS: Магазин 15 с МОТП, БАЗОВЫЙ для «1С: Комплексная автоматизация 2.4.11», для работы с маркированным товаром: ТАБАК и товары по штрихкодам </v>
      </c>
      <c r="F113" s="5">
        <f ca="1">IFERROR(__xludf.DUMMYFUNCTION("""COMPUTED_VALUE"""),11150)</f>
        <v>11150</v>
      </c>
    </row>
    <row r="114" spans="1:6" ht="86.25" customHeight="1" x14ac:dyDescent="0.2">
      <c r="A114" s="4" t="str">
        <f ca="1">IFERROR(__xludf.DUMMYFUNCTION("""COMPUTED_VALUE"""),"«1С: Комплексная автоматизация 2.4.11»")</f>
        <v>«1С: Комплексная автоматизация 2.4.11»</v>
      </c>
      <c r="B114" s="4" t="str">
        <f ca="1">IFERROR(__xludf.DUMMYFUNCTION("""COMPUTED_VALUE"""),"с МОТП, РАСШИРЕННЫЙ")</f>
        <v>с МОТП, РАСШИРЕННЫЙ</v>
      </c>
      <c r="C114" s="4" t="str">
        <f ca="1">IFERROR(__xludf.DUMMYFUNCTION("""COMPUTED_VALUE"""),"RTL15BT-1CKA24")</f>
        <v>RTL15BT-1CKA24</v>
      </c>
      <c r="D114" s="4" t="str">
        <f ca="1">IFERROR(__xludf.DUMMYFUNCTION("""COMPUTED_VALUE"""),"Mobile SMARTS: Магазин 15 с МОТП, РАСШИРЕННЫЙ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пост"&amp;"упление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4" s="4" t="str">
        <f ca="1">IFERROR(__xludf.DUMMYFUNCTION("""COMPUTED_VALUE"""),"Mobile SMARTS: Магазин 15 с МОТП, РАСШИРЕННЫЙ для «1С: Комплексная автоматизация 2.4.11», для работы с маркированным товаром: ТАБАК и товары по штрихкодам ")</f>
        <v xml:space="preserve">Mobile SMARTS: Магазин 15 с МОТП, РАСШИРЕННЫЙ для «1С: Комплексная автоматизация 2.4.11», для работы с маркированным товаром: ТАБАК и товары по штрихкодам </v>
      </c>
      <c r="F114" s="5">
        <f ca="1">IFERROR(__xludf.DUMMYFUNCTION("""COMPUTED_VALUE"""),17450)</f>
        <v>17450</v>
      </c>
    </row>
    <row r="115" spans="1:6" ht="86.25" customHeight="1" x14ac:dyDescent="0.2">
      <c r="A115" s="4" t="str">
        <f ca="1">IFERROR(__xludf.DUMMYFUNCTION("""COMPUTED_VALUE"""),"«1С: Комплексная автоматизация 2.4.11»")</f>
        <v>«1С: Комплексная автоматизация 2.4.11»</v>
      </c>
      <c r="B115" s="4" t="str">
        <f ca="1">IFERROR(__xludf.DUMMYFUNCTION("""COMPUTED_VALUE"""),"с МОТП, МЕГАМАРКЕТ")</f>
        <v>с МОТП, МЕГАМАРКЕТ</v>
      </c>
      <c r="C115" s="4" t="str">
        <f ca="1">IFERROR(__xludf.DUMMYFUNCTION("""COMPUTED_VALUE"""),"RTL15CT-1CKA24")</f>
        <v>RTL15CT-1CKA24</v>
      </c>
      <c r="D115" s="4" t="str">
        <f ca="1">IFERROR(__xludf.DUMMYFUNCTION("""COMPUTED_VALUE"""),"Mobile SMARTS: Магазин 15 с МОТП, МЕГАМАРКЕТ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посту"&amp;"пление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колл"&amp;"ективная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Интерне"&amp;"т на 1 (один) год")</f>
        <v>Mobile SMARTS: Магазин 15 с МОТП, МЕГАМАРКЕТ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5" s="4" t="str">
        <f ca="1">IFERROR(__xludf.DUMMYFUNCTION("""COMPUTED_VALUE"""),"Mobile SMARTS: Магазин 15 с МОТП, МЕГАМАРКЕТ для «1С: Комплексная автоматизация 2.4.11», для работы с маркированным товаром: ТАБАК и товары по штрихкодам ")</f>
        <v xml:space="preserve">Mobile SMARTS: Магазин 15 с МОТП, МЕГАМАРКЕТ для «1С: Комплексная автоматизация 2.4.11», для работы с маркированным товаром: ТАБАК и товары по штрихкодам </v>
      </c>
      <c r="F115" s="5">
        <f ca="1">IFERROR(__xludf.DUMMYFUNCTION("""COMPUTED_VALUE"""),23850)</f>
        <v>23850</v>
      </c>
    </row>
    <row r="116" spans="1:6" ht="86.25" customHeight="1" x14ac:dyDescent="0.2">
      <c r="A116" s="4" t="str">
        <f ca="1">IFERROR(__xludf.DUMMYFUNCTION("""COMPUTED_VALUE"""),"«1С: Комплексная автоматизация 2.4.11»")</f>
        <v>«1С: Комплексная автоматизация 2.4.11»</v>
      </c>
      <c r="B116" s="4" t="str">
        <f ca="1">IFERROR(__xludf.DUMMYFUNCTION("""COMPUTED_VALUE"""),"с ЕГАИС и МОТП, БАЗОВЫЙ")</f>
        <v>с ЕГАИС и МОТП, БАЗОВЫЙ</v>
      </c>
      <c r="C116" s="4" t="str">
        <f ca="1">IFERROR(__xludf.DUMMYFUNCTION("""COMPUTED_VALUE"""),"RTL15AET-1CKA24")</f>
        <v>RTL15AET-1CKA24</v>
      </c>
      <c r="D116" s="4" t="str">
        <f ca="1">IFERROR(__xludf.DUMMYFUNCTION("""COMPUTED_VALUE"""),"Mobile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"&amp;"операции: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операци"&amp;"й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6" s="4" t="str">
        <f ca="1">IFERROR(__xludf.DUMMYFUNCTION("""COMPUTED_VALUE"""),"Mobile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")</f>
        <v xml:space="preserve">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</v>
      </c>
      <c r="F116" s="5">
        <f ca="1">IFERROR(__xludf.DUMMYFUNCTION("""COMPUTED_VALUE"""),12150)</f>
        <v>12150</v>
      </c>
    </row>
    <row r="117" spans="1:6" ht="86.25" customHeight="1" x14ac:dyDescent="0.2">
      <c r="A117" s="4" t="str">
        <f ca="1">IFERROR(__xludf.DUMMYFUNCTION("""COMPUTED_VALUE"""),"«1С: Комплексная автоматизация 2.4.11»")</f>
        <v>«1С: Комплексная автоматизация 2.4.11»</v>
      </c>
      <c r="B117" s="4" t="str">
        <f ca="1">IFERROR(__xludf.DUMMYFUNCTION("""COMPUTED_VALUE"""),"с ЕГАИС и МОТП, РАСШИРЕННЫЙ")</f>
        <v>с ЕГАИС и МОТП, РАСШИРЕННЫЙ</v>
      </c>
      <c r="C117" s="4" t="str">
        <f ca="1">IFERROR(__xludf.DUMMYFUNCTION("""COMPUTED_VALUE"""),"RTL15BET-1CKA24")</f>
        <v>RTL15BET-1CKA24</v>
      </c>
      <c r="D117" s="4" t="str">
        <f ca="1">IFERROR(__xludf.DUMMYFUNCTION("""COMPUTED_VALUE"""),"Mobile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перемещение,"&amp;"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опе"&amp;"раций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7" s="4" t="str">
        <f ca="1">IFERROR(__xludf.DUMMYFUNCTION("""COMPUTED_VALUE"""),"Mobile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")</f>
        <v xml:space="preserve">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</v>
      </c>
      <c r="F117" s="5">
        <f ca="1">IFERROR(__xludf.DUMMYFUNCTION("""COMPUTED_VALUE"""),18550)</f>
        <v>18550</v>
      </c>
    </row>
    <row r="118" spans="1:6" ht="86.25" customHeight="1" x14ac:dyDescent="0.2">
      <c r="A118" s="4" t="str">
        <f ca="1">IFERROR(__xludf.DUMMYFUNCTION("""COMPUTED_VALUE"""),"«1С: Комплексная автоматизация 2.4.11»")</f>
        <v>«1С: Комплексная автоматизация 2.4.11»</v>
      </c>
      <c r="B118" s="4" t="str">
        <f ca="1">IFERROR(__xludf.DUMMYFUNCTION("""COMPUTED_VALUE"""),"с ЕГАИС и МОТП, МЕГАМАРКЕТ")</f>
        <v>с ЕГАИС и МОТП, МЕГАМАРКЕТ</v>
      </c>
      <c r="C118" s="4" t="str">
        <f ca="1">IFERROR(__xludf.DUMMYFUNCTION("""COMPUTED_VALUE"""),"RTL15CET-1CKA24")</f>
        <v>RTL15CET-1CKA24</v>
      </c>
      <c r="D118" s="4" t="str">
        <f ca="1">IFERROR(__xludf.DUMMYFUNCTION("""COMPUTED_VALUE"""),"Mobile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доступн"&amp;"ые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"&amp;"сбор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измене"&amp;"ние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8" s="4" t="str">
        <f ca="1">IFERROR(__xludf.DUMMYFUNCTION("""COMPUTED_VALUE"""),"Mobile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")</f>
        <v xml:space="preserve">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</v>
      </c>
      <c r="F118" s="5">
        <f ca="1">IFERROR(__xludf.DUMMYFUNCTION("""COMPUTED_VALUE"""),26350)</f>
        <v>26350</v>
      </c>
    </row>
    <row r="119" spans="1:6" ht="86.25" customHeight="1" x14ac:dyDescent="0.2">
      <c r="A119" s="4" t="str">
        <f ca="1">IFERROR(__xludf.DUMMYFUNCTION("""COMPUTED_VALUE"""),"«1С: Комплексная автоматизация 2.4.11»")</f>
        <v>«1С: Комплексная автоматизация 2.4.11»</v>
      </c>
      <c r="B119" s="4" t="str">
        <f ca="1">IFERROR(__xludf.DUMMYFUNCTION("""COMPUTED_VALUE"""),"ШМОТКИ, БАЗОВЫЙ")</f>
        <v>ШМОТКИ, БАЗОВЫЙ</v>
      </c>
      <c r="C119" s="4" t="str">
        <f ca="1">IFERROR(__xludf.DUMMYFUNCTION("""COMPUTED_VALUE"""),"RTL15AK-1CKA24")</f>
        <v>RTL15AK-1CKA24</v>
      </c>
      <c r="D119" s="4" t="str">
        <f ca="1">IFERROR(__xludf.DUMMYFUNCTION("""COMPUTED_VALUE"""),"Mobile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доступ"&amp;"ные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"&amp;"/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9" s="4" t="str">
        <f ca="1">IFERROR(__xludf.DUMMYFUNCTION("""COMPUTED_VALUE"""),"Mobile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")</f>
        <v xml:space="preserve">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</v>
      </c>
      <c r="F119" s="5">
        <f ca="1">IFERROR(__xludf.DUMMYFUNCTION("""COMPUTED_VALUE"""),12150)</f>
        <v>12150</v>
      </c>
    </row>
    <row r="120" spans="1:6" ht="86.25" customHeight="1" x14ac:dyDescent="0.2">
      <c r="A120" s="4" t="str">
        <f ca="1">IFERROR(__xludf.DUMMYFUNCTION("""COMPUTED_VALUE"""),"«1С: Комплексная автоматизация 2.4.11»")</f>
        <v>«1С: Комплексная автоматизация 2.4.11»</v>
      </c>
      <c r="B120" s="4" t="str">
        <f ca="1">IFERROR(__xludf.DUMMYFUNCTION("""COMPUTED_VALUE"""),"ШМОТКИ, РАСШИРЕННЫЙ")</f>
        <v>ШМОТКИ, РАСШИРЕННЫЙ</v>
      </c>
      <c r="C120" s="4" t="str">
        <f ca="1">IFERROR(__xludf.DUMMYFUNCTION("""COMPUTED_VALUE"""),"RTL15BK-1CKA24")</f>
        <v>RTL15BK-1CKA24</v>
      </c>
      <c r="D120" s="4" t="str">
        <f ca="1">IFERROR(__xludf.DUMMYFUNCTION("""COMPUTED_VALUE"""),"Mobile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до"&amp;"ступные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QR-ко"&amp;"дов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0" s="4" t="str">
        <f ca="1">IFERROR(__xludf.DUMMYFUNCTION("""COMPUTED_VALUE"""),"Mobile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</v>
      </c>
      <c r="F120" s="5">
        <f ca="1">IFERROR(__xludf.DUMMYFUNCTION("""COMPUTED_VALUE"""),18550)</f>
        <v>18550</v>
      </c>
    </row>
    <row r="121" spans="1:6" ht="86.25" customHeight="1" x14ac:dyDescent="0.2">
      <c r="A121" s="4" t="str">
        <f ca="1">IFERROR(__xludf.DUMMYFUNCTION("""COMPUTED_VALUE"""),"«1С: Комплексная автоматизация 2.4.11»")</f>
        <v>«1С: Комплексная автоматизация 2.4.11»</v>
      </c>
      <c r="B121" s="4" t="str">
        <f ca="1">IFERROR(__xludf.DUMMYFUNCTION("""COMPUTED_VALUE"""),"ШМОТКИ, МЕГАМАРКЕТ")</f>
        <v>ШМОТКИ, МЕГАМАРКЕТ</v>
      </c>
      <c r="C121" s="4" t="str">
        <f ca="1">IFERROR(__xludf.DUMMYFUNCTION("""COMPUTED_VALUE"""),"RTL15CK-1CKA24")</f>
        <v>RTL15CK-1CKA24</v>
      </c>
      <c r="D121" s="4" t="str">
        <f ca="1">IFERROR(__xludf.DUMMYFUNCTION("""COMPUTED_VALUE"""),"Mobile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дос"&amp;"тупные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QR-код"&amp;"ов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обновления"&amp;" и обмен через Интернет на 1 (один) год")</f>
        <v>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1" s="4" t="str">
        <f ca="1">IFERROR(__xludf.DUMMYFUNCTION("""COMPUTED_VALUE"""),"Mobile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</v>
      </c>
      <c r="F121" s="5">
        <f ca="1">IFERROR(__xludf.DUMMYFUNCTION("""COMPUTED_VALUE"""),26350)</f>
        <v>26350</v>
      </c>
    </row>
    <row r="122" spans="1:6" ht="86.25" customHeight="1" x14ac:dyDescent="0.2">
      <c r="A122" s="4" t="str">
        <f ca="1">IFERROR(__xludf.DUMMYFUNCTION("""COMPUTED_VALUE"""),"«1С: Комплексная автоматизация 2.4.11»")</f>
        <v>«1С: Комплексная автоматизация 2.4.11»</v>
      </c>
      <c r="B122" s="4" t="str">
        <f ca="1">IFERROR(__xludf.DUMMYFUNCTION("""COMPUTED_VALUE"""),"ПРОДУКТОВЫЙ, БАЗОВЫЙ")</f>
        <v>ПРОДУКТОВЫЙ, БАЗОВЫЙ</v>
      </c>
      <c r="C122" s="4" t="str">
        <f ca="1">IFERROR(__xludf.DUMMYFUNCTION("""COMPUTED_VALUE"""),"RTL15AG-1CKA24")</f>
        <v>RTL15AG-1CKA24</v>
      </c>
      <c r="D122" s="4" t="str">
        <f ca="1">IFERROR(__xludf.DUMMYFUNCTION("""COMPUTED_VALUE"""),"Mobile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об"&amp;"мен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2" s="4" t="str">
        <f ca="1">IFERROR(__xludf.DUMMYFUNCTION("""COMPUTED_VALUE"""),"Mobile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</v>
      </c>
      <c r="F122" s="5">
        <f ca="1">IFERROR(__xludf.DUMMYFUNCTION("""COMPUTED_VALUE"""),14550)</f>
        <v>14550</v>
      </c>
    </row>
    <row r="123" spans="1:6" ht="86.25" customHeight="1" x14ac:dyDescent="0.2">
      <c r="A123" s="4" t="str">
        <f ca="1">IFERROR(__xludf.DUMMYFUNCTION("""COMPUTED_VALUE"""),"«1С: Комплексная автоматизация 2.4.11»")</f>
        <v>«1С: Комплексная автоматизация 2.4.11»</v>
      </c>
      <c r="B123" s="4" t="str">
        <f ca="1">IFERROR(__xludf.DUMMYFUNCTION("""COMPUTED_VALUE"""),"ПРОДУКТОВЫЙ, РАСШИРЕННЫЙ")</f>
        <v>ПРОДУКТОВЫЙ, РАСШИРЕННЫЙ</v>
      </c>
      <c r="C123" s="4" t="str">
        <f ca="1">IFERROR(__xludf.DUMMYFUNCTION("""COMPUTED_VALUE"""),"RTL15BG-1CKA24")</f>
        <v>RTL15BG-1CKA24</v>
      </c>
      <c r="D123" s="4" t="str">
        <f ca="1">IFERROR(__xludf.DUMMYFUNCTION("""COMPUTED_VALUE"""),"Mobile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ил"&amp;"и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подбор"&amp;"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3" s="4" t="str">
        <f ca="1">IFERROR(__xludf.DUMMYFUNCTION("""COMPUTED_VALUE"""),"Mobile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</v>
      </c>
      <c r="F123" s="5">
        <f ca="1">IFERROR(__xludf.DUMMYFUNCTION("""COMPUTED_VALUE"""),20950)</f>
        <v>20950</v>
      </c>
    </row>
    <row r="124" spans="1:6" ht="86.25" customHeight="1" x14ac:dyDescent="0.2">
      <c r="A124" s="4" t="str">
        <f ca="1">IFERROR(__xludf.DUMMYFUNCTION("""COMPUTED_VALUE"""),"«1С: Комплексная автоматизация 2.4.11»")</f>
        <v>«1С: Комплексная автоматизация 2.4.11»</v>
      </c>
      <c r="B124" s="4" t="str">
        <f ca="1">IFERROR(__xludf.DUMMYFUNCTION("""COMPUTED_VALUE"""),"ПРОДУКТОВЫЙ, МЕГАМАРКЕТ")</f>
        <v>ПРОДУКТОВЫЙ, МЕГАМАРКЕТ</v>
      </c>
      <c r="C124" s="4" t="str">
        <f ca="1">IFERROR(__xludf.DUMMYFUNCTION("""COMPUTED_VALUE"""),"RTL15CG-1CKA24")</f>
        <v>RTL15CG-1CKA24</v>
      </c>
      <c r="D124" s="4" t="str">
        <f ca="1">IFERROR(__xludf.DUMMYFUNCTION("""COMPUTED_VALUE"""),"Mobile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или"&amp;"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"&amp;"заказа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4" s="4" t="str">
        <f ca="1">IFERROR(__xludf.DUMMYFUNCTION("""COMPUTED_VALUE"""),"Mobile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</v>
      </c>
      <c r="F124" s="5">
        <f ca="1">IFERROR(__xludf.DUMMYFUNCTION("""COMPUTED_VALUE"""),28250)</f>
        <v>28250</v>
      </c>
    </row>
    <row r="125" spans="1:6" ht="86.25" customHeight="1" x14ac:dyDescent="0.2">
      <c r="A125" s="4" t="str">
        <f ca="1">IFERROR(__xludf.DUMMYFUNCTION("""COMPUTED_VALUE"""),"«1С: Комплексная автоматизация 2.5»")</f>
        <v>«1С: Комплексная автоматизация 2.5»</v>
      </c>
      <c r="B125" s="4" t="str">
        <f ca="1">IFERROR(__xludf.DUMMYFUNCTION("""COMPUTED_VALUE"""),"МИНИМУМ")</f>
        <v>МИНИМУМ</v>
      </c>
      <c r="C125" s="4" t="str">
        <f ca="1">IFERROR(__xludf.DUMMYFUNCTION("""COMPUTED_VALUE"""),"RTL15M-1CKA25")</f>
        <v>RTL15M-1CKA25</v>
      </c>
      <c r="D125" s="4" t="str">
        <f ca="1">IFERROR(__xludf.DUMMYFUNCTION("""COMPUTED_VALUE"""),"Mobile SMARTS: Магазин 15, МИНИМУМ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товаро"&amp;"в,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(од"&amp;"ин) год")</f>
        <v>Mobile SMARTS: Магазин 15, МИНИМУМ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25" s="4" t="str">
        <f ca="1">IFERROR(__xludf.DUMMYFUNCTION("""COMPUTED_VALUE"""),"Mobile SMARTS: Магазин 15, МИНИМУМ для «1С: Комплексная автоматизация 2.5», для работы с товаром по штрихкодам ")</f>
        <v xml:space="preserve">Mobile SMARTS: Магазин 15, МИНИМУМ для «1С: Комплексная автоматизация 2.5», для работы с товаром по штрихкодам </v>
      </c>
      <c r="F125" s="5">
        <f ca="1">IFERROR(__xludf.DUMMYFUNCTION("""COMPUTED_VALUE"""),3450)</f>
        <v>3450</v>
      </c>
    </row>
    <row r="126" spans="1:6" ht="86.25" customHeight="1" x14ac:dyDescent="0.2">
      <c r="A126" s="4" t="str">
        <f ca="1">IFERROR(__xludf.DUMMYFUNCTION("""COMPUTED_VALUE"""),"«1С: Комплексная автоматизация 2.5»")</f>
        <v>«1С: Комплексная автоматизация 2.5»</v>
      </c>
      <c r="B126" s="4" t="str">
        <f ca="1">IFERROR(__xludf.DUMMYFUNCTION("""COMPUTED_VALUE"""),"БАЗОВЫЙ")</f>
        <v>БАЗОВЫЙ</v>
      </c>
      <c r="C126" s="4" t="str">
        <f ca="1">IFERROR(__xludf.DUMMYFUNCTION("""COMPUTED_VALUE"""),"RTL15A-1CKA25")</f>
        <v>RTL15A-1CKA25</v>
      </c>
      <c r="D126" s="4" t="str">
        <f ca="1">IFERROR(__xludf.DUMMYFUNCTION("""COMPUTED_VALUE"""),"Mobile SMARTS: Магазин 15, БАЗОВЫЙ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6" s="4" t="str">
        <f ca="1">IFERROR(__xludf.DUMMYFUNCTION("""COMPUTED_VALUE"""),"Mobile SMARTS: Магазин 15, БАЗОВЫЙ для «1С: Комплексная автоматизация 2.5», для работы с товаром по штрихкодам ")</f>
        <v xml:space="preserve">Mobile SMARTS: Магазин 15, БАЗОВЫЙ для «1С: Комплексная автоматизация 2.5», для работы с товаром по штрихкодам </v>
      </c>
      <c r="F126" s="5">
        <f ca="1">IFERROR(__xludf.DUMMYFUNCTION("""COMPUTED_VALUE"""),8650)</f>
        <v>8650</v>
      </c>
    </row>
    <row r="127" spans="1:6" ht="86.25" customHeight="1" x14ac:dyDescent="0.2">
      <c r="A127" s="4" t="str">
        <f ca="1">IFERROR(__xludf.DUMMYFUNCTION("""COMPUTED_VALUE"""),"«1С: Комплексная автоматизация 2.5»")</f>
        <v>«1С: Комплексная автоматизация 2.5»</v>
      </c>
      <c r="B127" s="4" t="str">
        <f ca="1">IFERROR(__xludf.DUMMYFUNCTION("""COMPUTED_VALUE"""),"РАСШИРЕННЫЙ")</f>
        <v>РАСШИРЕННЫЙ</v>
      </c>
      <c r="C127" s="4" t="str">
        <f ca="1">IFERROR(__xludf.DUMMYFUNCTION("""COMPUTED_VALUE"""),"RTL15B-1CKA25")</f>
        <v>RTL15B-1CKA25</v>
      </c>
      <c r="D127" s="4" t="str">
        <f ca="1">IFERROR(__xludf.DUMMYFUNCTION("""COMPUTED_VALUE"""),"Mobile SMARTS: Магазин 15, РАСШИРЕННЫЙ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7" s="4" t="str">
        <f ca="1">IFERROR(__xludf.DUMMYFUNCTION("""COMPUTED_VALUE"""),"Mobile SMARTS: Магазин 15, РАСШИРЕННЫЙ для «1С: Комплексная автоматизация 2.5», для работы с товаром по штрихкодам ")</f>
        <v xml:space="preserve">Mobile SMARTS: Магазин 15, РАСШИРЕННЫЙ для «1С: Комплексная автоматизация 2.5», для работы с товаром по штрихкодам </v>
      </c>
      <c r="F127" s="5">
        <f ca="1">IFERROR(__xludf.DUMMYFUNCTION("""COMPUTED_VALUE"""),15050)</f>
        <v>15050</v>
      </c>
    </row>
    <row r="128" spans="1:6" ht="86.25" customHeight="1" x14ac:dyDescent="0.2">
      <c r="A128" s="4" t="str">
        <f ca="1">IFERROR(__xludf.DUMMYFUNCTION("""COMPUTED_VALUE"""),"«1С: Комплексная автоматизация 2.5»")</f>
        <v>«1С: Комплексная автоматизация 2.5»</v>
      </c>
      <c r="B128" s="4" t="str">
        <f ca="1">IFERROR(__xludf.DUMMYFUNCTION("""COMPUTED_VALUE"""),"МЕГАМАРКЕТ")</f>
        <v>МЕГАМАРКЕТ</v>
      </c>
      <c r="C128" s="4" t="str">
        <f ca="1">IFERROR(__xludf.DUMMYFUNCTION("""COMPUTED_VALUE"""),"RTL15C-1CKA25")</f>
        <v>RTL15C-1CKA25</v>
      </c>
      <c r="D128" s="4" t="str">
        <f ca="1">IFERROR(__xludf.DUMMYFUNCTION("""COMPUTED_VALUE"""),"Mobile SMARTS: Магазин 15, МЕГАМАРКЕТ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8" s="4" t="str">
        <f ca="1">IFERROR(__xludf.DUMMYFUNCTION("""COMPUTED_VALUE"""),"Mobile SMARTS: Магазин 15, МЕГАМАРКЕТ для «1С: Комплексная автоматизация 2.5», для работы с товаром по штрихкодам ")</f>
        <v xml:space="preserve">Mobile SMARTS: Магазин 15, МЕГАМАРКЕТ для «1С: Комплексная автоматизация 2.5», для работы с товаром по штрихкодам </v>
      </c>
      <c r="F128" s="5">
        <f ca="1">IFERROR(__xludf.DUMMYFUNCTION("""COMPUTED_VALUE"""),21550)</f>
        <v>21550</v>
      </c>
    </row>
    <row r="129" spans="1:6" ht="86.25" customHeight="1" x14ac:dyDescent="0.2">
      <c r="A129" s="4" t="str">
        <f ca="1">IFERROR(__xludf.DUMMYFUNCTION("""COMPUTED_VALUE"""),"«1С: Комплексная автоматизация 2.5»")</f>
        <v>«1С: Комплексная автоматизация 2.5»</v>
      </c>
      <c r="B129" s="4" t="str">
        <f ca="1">IFERROR(__xludf.DUMMYFUNCTION("""COMPUTED_VALUE"""),"с ЕГАИС, БАЗОВЫЙ")</f>
        <v>с ЕГАИС, БАЗОВЫЙ</v>
      </c>
      <c r="C129" s="4" t="str">
        <f ca="1">IFERROR(__xludf.DUMMYFUNCTION("""COMPUTED_VALUE"""),"RTL15AE-1CKA25")</f>
        <v>RTL15AE-1CKA25</v>
      </c>
      <c r="D129" s="4" t="str">
        <f ca="1">IFERROR(__xludf.DUMMYFUNCTION("""COMPUTED_VALUE"""),"Mobile SMARTS: Магазин 15 с ЕГАИС, БАЗОВЫЙ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29" s="4" t="str">
        <f ca="1">IFERROR(__xludf.DUMMYFUNCTION("""COMPUTED_VALUE"""),"Mobile SMARTS: Магазин 15 с ЕГАИС, БАЗОВЫЙ для «1С: Комплексная автоматизация 2.5», для работы с маркированным товаром: алкоголь ЕГАИС и товары по штрихкодам ")</f>
        <v xml:space="preserve">Mobile SMARTS: Магазин 15 с ЕГАИС, БАЗОВЫЙ для «1С: Комплексная автоматизация 2.5», для работы с маркированным товаром: алкоголь ЕГАИС и товары по штрихкодам </v>
      </c>
      <c r="F129" s="5">
        <f ca="1">IFERROR(__xludf.DUMMYFUNCTION("""COMPUTED_VALUE"""),11000)</f>
        <v>11000</v>
      </c>
    </row>
    <row r="130" spans="1:6" ht="86.25" customHeight="1" x14ac:dyDescent="0.2">
      <c r="A130" s="4" t="str">
        <f ca="1">IFERROR(__xludf.DUMMYFUNCTION("""COMPUTED_VALUE"""),"«1С: Комплексная автоматизация 2.5»")</f>
        <v>«1С: Комплексная автоматизация 2.5»</v>
      </c>
      <c r="B130" s="4" t="str">
        <f ca="1">IFERROR(__xludf.DUMMYFUNCTION("""COMPUTED_VALUE"""),"с ЕГАИС, РАСШИРЕННЫЙ")</f>
        <v>с ЕГАИС, РАСШИРЕННЫЙ</v>
      </c>
      <c r="C130" s="4" t="str">
        <f ca="1">IFERROR(__xludf.DUMMYFUNCTION("""COMPUTED_VALUE"""),"RTL15BE-1CKA25")</f>
        <v>RTL15BE-1CKA25</v>
      </c>
      <c r="D130" s="4" t="str">
        <f ca="1">IFERROR(__xludf.DUMMYFUNCTION("""COMPUTED_VALUE"""),"Mobile SMARTS: Магазин 15 с ЕГАИС, РАСШИРЕННЫЙ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0" s="4" t="str">
        <f ca="1">IFERROR(__xludf.DUMMYFUNCTION("""COMPUTED_VALUE"""),"Mobile SMARTS: Магазин 15 с ЕГАИС, РАСШИРЕННЫЙ для «1С: Комплексная автоматизация 2.5», для работы с маркированным товаром: алкоголь ЕГАИС и товары по штрихкодам ")</f>
        <v xml:space="preserve">Mobile SMARTS: Магазин 15 с ЕГАИС, РАСШИРЕННЫЙ для «1С: Комплексная автоматизация 2.5», для работы с маркированным товаром: алкоголь ЕГАИС и товары по штрихкодам </v>
      </c>
      <c r="F130" s="5">
        <f ca="1">IFERROR(__xludf.DUMMYFUNCTION("""COMPUTED_VALUE"""),17450)</f>
        <v>17450</v>
      </c>
    </row>
    <row r="131" spans="1:6" ht="86.25" customHeight="1" x14ac:dyDescent="0.2">
      <c r="A131" s="4" t="str">
        <f ca="1">IFERROR(__xludf.DUMMYFUNCTION("""COMPUTED_VALUE"""),"«1С: Комплексная автоматизация 2.5»")</f>
        <v>«1С: Комплексная автоматизация 2.5»</v>
      </c>
      <c r="B131" s="4" t="str">
        <f ca="1">IFERROR(__xludf.DUMMYFUNCTION("""COMPUTED_VALUE"""),"с ЕГАИС (без CheckMark2), МЕГАМАРКЕТ")</f>
        <v>с ЕГАИС (без CheckMark2), МЕГАМАРКЕТ</v>
      </c>
      <c r="C131" s="4" t="str">
        <f ca="1">IFERROR(__xludf.DUMMYFUNCTION("""COMPUTED_VALUE"""),"RTL15CEV-1CKA25")</f>
        <v>RTL15CEV-1CKA25</v>
      </c>
      <c r="D131" s="4" t="str">
        <f ca="1">IFERROR(__xludf.DUMMYFUNCTION("""COMPUTED_VALUE"""),"Mobile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д"&amp;"оступные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ра"&amp;"бота,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об"&amp;"мен через Интернет на 1 (один) год")</f>
        <v>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1" s="4" t="str">
        <f ca="1">IFERROR(__xludf.DUMMYFUNCTION("""COMPUTED_VALUE"""),"Mobile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</v>
      </c>
      <c r="F131" s="5">
        <f ca="1">IFERROR(__xludf.DUMMYFUNCTION("""COMPUTED_VALUE"""),23850)</f>
        <v>23850</v>
      </c>
    </row>
    <row r="132" spans="1:6" ht="86.25" customHeight="1" x14ac:dyDescent="0.2">
      <c r="A132" s="4" t="str">
        <f ca="1">IFERROR(__xludf.DUMMYFUNCTION("""COMPUTED_VALUE"""),"«1С: Комплексная автоматизация 2.5»")</f>
        <v>«1С: Комплексная автоматизация 2.5»</v>
      </c>
      <c r="B132" s="4" t="str">
        <f ca="1">IFERROR(__xludf.DUMMYFUNCTION("""COMPUTED_VALUE"""),"с МОТП, БАЗОВЫЙ")</f>
        <v>с МОТП, БАЗОВЫЙ</v>
      </c>
      <c r="C132" s="4" t="str">
        <f ca="1">IFERROR(__xludf.DUMMYFUNCTION("""COMPUTED_VALUE"""),"RTL15AT-1CKA25")</f>
        <v>RTL15AT-1CKA25</v>
      </c>
      <c r="D132" s="4" t="str">
        <f ca="1">IFERROR(__xludf.DUMMYFUNCTION("""COMPUTED_VALUE"""),"Mobile SMARTS: Магазин 15 с МОТП, БАЗОВЫЙ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поступление"&amp;"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2" s="4" t="str">
        <f ca="1">IFERROR(__xludf.DUMMYFUNCTION("""COMPUTED_VALUE"""),"Mobile SMARTS: Магазин 15 с МОТП, БАЗОВЫЙ для «1С: Комплексная автоматизация 2.5», для работы с маркированным товаром: ТАБАК и товары по штрихкодам ")</f>
        <v xml:space="preserve">Mobile SMARTS: Магазин 15 с МОТП, БАЗОВЫЙ для «1С: Комплексная автоматизация 2.5», для работы с маркированным товаром: ТАБАК и товары по штрихкодам </v>
      </c>
      <c r="F132" s="5">
        <f ca="1">IFERROR(__xludf.DUMMYFUNCTION("""COMPUTED_VALUE"""),11150)</f>
        <v>11150</v>
      </c>
    </row>
    <row r="133" spans="1:6" ht="86.25" customHeight="1" x14ac:dyDescent="0.2">
      <c r="A133" s="4" t="str">
        <f ca="1">IFERROR(__xludf.DUMMYFUNCTION("""COMPUTED_VALUE"""),"«1С: Комплексная автоматизация 2.5»")</f>
        <v>«1С: Комплексная автоматизация 2.5»</v>
      </c>
      <c r="B133" s="4" t="str">
        <f ca="1">IFERROR(__xludf.DUMMYFUNCTION("""COMPUTED_VALUE"""),"с МОТП, РАСШИРЕННЫЙ")</f>
        <v>с МОТП, РАСШИРЕННЫЙ</v>
      </c>
      <c r="C133" s="4" t="str">
        <f ca="1">IFERROR(__xludf.DUMMYFUNCTION("""COMPUTED_VALUE"""),"RTL15BT-1CKA25")</f>
        <v>RTL15BT-1CKA25</v>
      </c>
      <c r="D133" s="4" t="str">
        <f ca="1">IFERROR(__xludf.DUMMYFUNCTION("""COMPUTED_VALUE"""),"Mobile SMARTS: Магазин 15 с МОТП, РАСШИРЕННЫЙ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поступл"&amp;"ение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информ"&amp;"ация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3" s="4" t="str">
        <f ca="1">IFERROR(__xludf.DUMMYFUNCTION("""COMPUTED_VALUE"""),"Mobile SMARTS: Магазин 15 с МОТП, РАСШИРЕННЫЙ для «1С: Комплексная автоматизация 2.5», для работы с маркированным товаром: ТАБАК и товары по штрихкодам ")</f>
        <v xml:space="preserve">Mobile SMARTS: Магазин 15 с МОТП, РАСШИРЕННЫЙ для «1С: Комплексная автоматизация 2.5», для работы с маркированным товаром: ТАБАК и товары по штрихкодам </v>
      </c>
      <c r="F133" s="5">
        <f ca="1">IFERROR(__xludf.DUMMYFUNCTION("""COMPUTED_VALUE"""),17450)</f>
        <v>17450</v>
      </c>
    </row>
    <row r="134" spans="1:6" ht="86.25" customHeight="1" x14ac:dyDescent="0.2">
      <c r="A134" s="4" t="str">
        <f ca="1">IFERROR(__xludf.DUMMYFUNCTION("""COMPUTED_VALUE"""),"«1С: Комплексная автоматизация 2.5»")</f>
        <v>«1С: Комплексная автоматизация 2.5»</v>
      </c>
      <c r="B134" s="4" t="str">
        <f ca="1">IFERROR(__xludf.DUMMYFUNCTION("""COMPUTED_VALUE"""),"с МОТП, МЕГАМАРКЕТ")</f>
        <v>с МОТП, МЕГАМАРКЕТ</v>
      </c>
      <c r="C134" s="4" t="str">
        <f ca="1">IFERROR(__xludf.DUMMYFUNCTION("""COMPUTED_VALUE"""),"RTL15CT-1CKA25")</f>
        <v>RTL15CT-1CKA25</v>
      </c>
      <c r="D134" s="4" t="str">
        <f ca="1">IFERROR(__xludf.DUMMYFUNCTION("""COMPUTED_VALUE"""),"Mobile SMARTS: Магазин 15 с МОТП, МЕГАМАРКЕТ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поступле"&amp;"ние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коллект"&amp;"ивная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н"&amp;"а 1 (один) год")</f>
        <v>Mobile SMARTS: Магазин 15 с МОТП, МЕГАМАРКЕТ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4" s="4" t="str">
        <f ca="1">IFERROR(__xludf.DUMMYFUNCTION("""COMPUTED_VALUE"""),"Mobile SMARTS: Магазин 15 с МОТП, МЕГАМАРКЕТ для «1С: Комплексная автоматизация 2.5», для работы с маркированным товаром: ТАБАК и товары по штрихкодам ")</f>
        <v xml:space="preserve">Mobile SMARTS: Магазин 15 с МОТП, МЕГАМАРКЕТ для «1С: Комплексная автоматизация 2.5», для работы с маркированным товаром: ТАБАК и товары по штрихкодам </v>
      </c>
      <c r="F134" s="5">
        <f ca="1">IFERROR(__xludf.DUMMYFUNCTION("""COMPUTED_VALUE"""),23850)</f>
        <v>23850</v>
      </c>
    </row>
    <row r="135" spans="1:6" ht="86.25" customHeight="1" x14ac:dyDescent="0.2">
      <c r="A135" s="4" t="str">
        <f ca="1">IFERROR(__xludf.DUMMYFUNCTION("""COMPUTED_VALUE"""),"«1С: Комплексная автоматизация 2.5»")</f>
        <v>«1С: Комплексная автоматизация 2.5»</v>
      </c>
      <c r="B135" s="4" t="str">
        <f ca="1">IFERROR(__xludf.DUMMYFUNCTION("""COMPUTED_VALUE"""),"с ЕГАИС и МОТП, БАЗОВЫЙ")</f>
        <v>с ЕГАИС и МОТП, БАЗОВЫЙ</v>
      </c>
      <c r="C135" s="4" t="str">
        <f ca="1">IFERROR(__xludf.DUMMYFUNCTION("""COMPUTED_VALUE"""),"RTL15AET-1CKA25")</f>
        <v>RTL15AET-1CKA25</v>
      </c>
      <c r="D135" s="4" t="str">
        <f ca="1">IFERROR(__xludf.DUMMYFUNCTION("""COMPUTED_VALUE"""),"Mobile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опе"&amp;"рации: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/"&amp;"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5" s="4" t="str">
        <f ca="1">IFERROR(__xludf.DUMMYFUNCTION("""COMPUTED_VALUE"""),"Mobile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")</f>
        <v xml:space="preserve">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</v>
      </c>
      <c r="F135" s="5">
        <f ca="1">IFERROR(__xludf.DUMMYFUNCTION("""COMPUTED_VALUE"""),12150)</f>
        <v>12150</v>
      </c>
    </row>
    <row r="136" spans="1:6" ht="86.25" customHeight="1" x14ac:dyDescent="0.2">
      <c r="A136" s="4" t="str">
        <f ca="1">IFERROR(__xludf.DUMMYFUNCTION("""COMPUTED_VALUE"""),"«1С: Комплексная автоматизация 2.5»")</f>
        <v>«1С: Комплексная автоматизация 2.5»</v>
      </c>
      <c r="B136" s="4" t="str">
        <f ca="1">IFERROR(__xludf.DUMMYFUNCTION("""COMPUTED_VALUE"""),"с ЕГАИС и МОТП, РАСШИРЕННЫЙ")</f>
        <v>с ЕГАИС и МОТП, РАСШИРЕННЫЙ</v>
      </c>
      <c r="C136" s="4" t="str">
        <f ca="1">IFERROR(__xludf.DUMMYFUNCTION("""COMPUTED_VALUE"""),"RTL15BET-1CKA25")</f>
        <v>RTL15BET-1CKA25</v>
      </c>
      <c r="D136" s="4" t="str">
        <f ca="1">IFERROR(__xludf.DUMMYFUNCTION("""COMPUTED_VALUE"""),"Mobile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доступные"&amp;"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операц"&amp;"ий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6" s="4" t="str">
        <f ca="1">IFERROR(__xludf.DUMMYFUNCTION("""COMPUTED_VALUE"""),"Mobile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")</f>
        <v xml:space="preserve">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</v>
      </c>
      <c r="F136" s="5">
        <f ca="1">IFERROR(__xludf.DUMMYFUNCTION("""COMPUTED_VALUE"""),18550)</f>
        <v>18550</v>
      </c>
    </row>
    <row r="137" spans="1:6" ht="86.25" customHeight="1" x14ac:dyDescent="0.2">
      <c r="A137" s="4" t="str">
        <f ca="1">IFERROR(__xludf.DUMMYFUNCTION("""COMPUTED_VALUE"""),"«1С: Комплексная автоматизация 2.5»")</f>
        <v>«1С: Комплексная автоматизация 2.5»</v>
      </c>
      <c r="B137" s="4" t="str">
        <f ca="1">IFERROR(__xludf.DUMMYFUNCTION("""COMPUTED_VALUE"""),"с ЕГАИС и МОТП, МЕГАМАРКЕТ")</f>
        <v>с ЕГАИС и МОТП, МЕГАМАРКЕТ</v>
      </c>
      <c r="C137" s="4" t="str">
        <f ca="1">IFERROR(__xludf.DUMMYFUNCTION("""COMPUTED_VALUE"""),"RTL15CET-1CKA25")</f>
        <v>RTL15CET-1CKA25</v>
      </c>
      <c r="D137" s="4" t="str">
        <f ca="1">IFERROR(__xludf.DUMMYFUNCTION("""COMPUTED_VALUE"""),"Mobile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изменение"&amp;"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7" s="4" t="str">
        <f ca="1">IFERROR(__xludf.DUMMYFUNCTION("""COMPUTED_VALUE"""),"Mobile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")</f>
        <v xml:space="preserve">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</v>
      </c>
      <c r="F137" s="5">
        <f ca="1">IFERROR(__xludf.DUMMYFUNCTION("""COMPUTED_VALUE"""),26350)</f>
        <v>26350</v>
      </c>
    </row>
    <row r="138" spans="1:6" ht="86.25" customHeight="1" x14ac:dyDescent="0.2">
      <c r="A138" s="4" t="str">
        <f ca="1">IFERROR(__xludf.DUMMYFUNCTION("""COMPUTED_VALUE"""),"«1С: Комплексная автоматизация 2.5»")</f>
        <v>«1С: Комплексная автоматизация 2.5»</v>
      </c>
      <c r="B138" s="4" t="str">
        <f ca="1">IFERROR(__xludf.DUMMYFUNCTION("""COMPUTED_VALUE"""),"ШМОТКИ, БАЗОВЫЙ")</f>
        <v>ШМОТКИ, БАЗОВЫЙ</v>
      </c>
      <c r="C138" s="4" t="str">
        <f ca="1">IFERROR(__xludf.DUMMYFUNCTION("""COMPUTED_VALUE"""),"RTL15AK-1CKA25")</f>
        <v>RTL15AK-1CKA25</v>
      </c>
      <c r="D138" s="4" t="str">
        <f ca="1">IFERROR(__xludf.DUMMYFUNCTION("""COMPUTED_VALUE"""),"Mobile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доступные"&amp;"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в"&amp;"озможности: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"&amp;"1 (один) год")</f>
        <v>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8" s="4" t="str">
        <f ca="1">IFERROR(__xludf.DUMMYFUNCTION("""COMPUTED_VALUE"""),"Mobile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")</f>
        <v xml:space="preserve">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</v>
      </c>
      <c r="F138" s="5">
        <f ca="1">IFERROR(__xludf.DUMMYFUNCTION("""COMPUTED_VALUE"""),12150)</f>
        <v>12150</v>
      </c>
    </row>
    <row r="139" spans="1:6" ht="86.25" customHeight="1" x14ac:dyDescent="0.2">
      <c r="A139" s="4" t="str">
        <f ca="1">IFERROR(__xludf.DUMMYFUNCTION("""COMPUTED_VALUE"""),"«1С: Комплексная автоматизация 2.5»")</f>
        <v>«1С: Комплексная автоматизация 2.5»</v>
      </c>
      <c r="B139" s="4" t="str">
        <f ca="1">IFERROR(__xludf.DUMMYFUNCTION("""COMPUTED_VALUE"""),"ШМОТКИ, РАСШИРЕННЫЙ")</f>
        <v>ШМОТКИ, РАСШИРЕННЫЙ</v>
      </c>
      <c r="C139" s="4" t="str">
        <f ca="1">IFERROR(__xludf.DUMMYFUNCTION("""COMPUTED_VALUE"""),"RTL15BK-1CKA25")</f>
        <v>RTL15BK-1CKA25</v>
      </c>
      <c r="D139" s="4" t="str">
        <f ca="1">IFERROR(__xludf.DUMMYFUNCTION("""COMPUTED_VALUE"""),"Mobile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досту"&amp;"пные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QR-кодов"&amp;"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Интернет"&amp;" на 1 (один) год")</f>
        <v>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9" s="4" t="str">
        <f ca="1">IFERROR(__xludf.DUMMYFUNCTION("""COMPUTED_VALUE"""),"Mobile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</v>
      </c>
      <c r="F139" s="5">
        <f ca="1">IFERROR(__xludf.DUMMYFUNCTION("""COMPUTED_VALUE"""),18550)</f>
        <v>18550</v>
      </c>
    </row>
    <row r="140" spans="1:6" ht="86.25" customHeight="1" x14ac:dyDescent="0.2">
      <c r="A140" s="4" t="str">
        <f ca="1">IFERROR(__xludf.DUMMYFUNCTION("""COMPUTED_VALUE"""),"«1С: Комплексная автоматизация 2.5»")</f>
        <v>«1С: Комплексная автоматизация 2.5»</v>
      </c>
      <c r="B140" s="4" t="str">
        <f ca="1">IFERROR(__xludf.DUMMYFUNCTION("""COMPUTED_VALUE"""),"ШМОТКИ, МЕГАМАРКЕТ")</f>
        <v>ШМОТКИ, МЕГАМАРКЕТ</v>
      </c>
      <c r="C140" s="4" t="str">
        <f ca="1">IFERROR(__xludf.DUMMYFUNCTION("""COMPUTED_VALUE"""),"RTL15CK-1CKA25")</f>
        <v>RTL15CK-1CKA25</v>
      </c>
      <c r="D140" s="4" t="str">
        <f ca="1">IFERROR(__xludf.DUMMYFUNCTION("""COMPUTED_VALUE"""),"Mobile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доступ"&amp;"ные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"&amp;"/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0" s="4" t="str">
        <f ca="1">IFERROR(__xludf.DUMMYFUNCTION("""COMPUTED_VALUE"""),"Mobile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</v>
      </c>
      <c r="F140" s="5">
        <f ca="1">IFERROR(__xludf.DUMMYFUNCTION("""COMPUTED_VALUE"""),26350)</f>
        <v>26350</v>
      </c>
    </row>
    <row r="141" spans="1:6" ht="86.25" customHeight="1" x14ac:dyDescent="0.2">
      <c r="A141" s="4" t="str">
        <f ca="1">IFERROR(__xludf.DUMMYFUNCTION("""COMPUTED_VALUE"""),"«1С: Комплексная автоматизация 2.5»")</f>
        <v>«1С: Комплексная автоматизация 2.5»</v>
      </c>
      <c r="B141" s="4" t="str">
        <f ca="1">IFERROR(__xludf.DUMMYFUNCTION("""COMPUTED_VALUE"""),"ПРОДУКТОВЫЙ, БАЗОВЫЙ")</f>
        <v>ПРОДУКТОВЫЙ, БАЗОВЫЙ</v>
      </c>
      <c r="C141" s="4" t="str">
        <f ca="1">IFERROR(__xludf.DUMMYFUNCTION("""COMPUTED_VALUE"""),"RTL15AG-1CKA25")</f>
        <v>RTL15AG-1CKA25</v>
      </c>
      <c r="D141" s="4" t="str">
        <f ca="1">IFERROR(__xludf.DUMMYFUNCTION("""COMPUTED_VALUE"""),"Mobile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обмен"&amp;"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заказа"&amp;"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1" s="4" t="str">
        <f ca="1">IFERROR(__xludf.DUMMYFUNCTION("""COMPUTED_VALUE"""),"Mobile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</v>
      </c>
      <c r="F141" s="5">
        <f ca="1">IFERROR(__xludf.DUMMYFUNCTION("""COMPUTED_VALUE"""),14550)</f>
        <v>14550</v>
      </c>
    </row>
    <row r="142" spans="1:6" ht="86.25" customHeight="1" x14ac:dyDescent="0.2">
      <c r="A142" s="4" t="str">
        <f ca="1">IFERROR(__xludf.DUMMYFUNCTION("""COMPUTED_VALUE"""),"«1С: Комплексная автоматизация 2.5»")</f>
        <v>«1С: Комплексная автоматизация 2.5»</v>
      </c>
      <c r="B142" s="4" t="str">
        <f ca="1">IFERROR(__xludf.DUMMYFUNCTION("""COMPUTED_VALUE"""),"ПРОДУКТОВЫЙ, РАСШИРЕННЫЙ")</f>
        <v>ПРОДУКТОВЫЙ, РАСШИРЕННЫЙ</v>
      </c>
      <c r="C142" s="4" t="str">
        <f ca="1">IFERROR(__xludf.DUMMYFUNCTION("""COMPUTED_VALUE"""),"RTL15BG-1CKA25")</f>
        <v>RTL15BG-1CKA25</v>
      </c>
      <c r="D142" s="4" t="str">
        <f ca="1">IFERROR(__xludf.DUMMYFUNCTION("""COMPUTED_VALUE"""),"Mobile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о"&amp;"бмен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за"&amp;"каза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2" s="4" t="str">
        <f ca="1">IFERROR(__xludf.DUMMYFUNCTION("""COMPUTED_VALUE"""),"Mobile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</v>
      </c>
      <c r="F142" s="5">
        <f ca="1">IFERROR(__xludf.DUMMYFUNCTION("""COMPUTED_VALUE"""),20950)</f>
        <v>20950</v>
      </c>
    </row>
    <row r="143" spans="1:6" ht="86.25" customHeight="1" x14ac:dyDescent="0.2">
      <c r="A143" s="4" t="str">
        <f ca="1">IFERROR(__xludf.DUMMYFUNCTION("""COMPUTED_VALUE"""),"«1С: Комплексная автоматизация 2.5»")</f>
        <v>«1С: Комплексная автоматизация 2.5»</v>
      </c>
      <c r="B143" s="4" t="str">
        <f ca="1">IFERROR(__xludf.DUMMYFUNCTION("""COMPUTED_VALUE"""),"ПРОДУКТОВЫЙ, МЕГАМАРКЕТ")</f>
        <v>ПРОДУКТОВЫЙ, МЕГАМАРКЕТ</v>
      </c>
      <c r="C143" s="4" t="str">
        <f ca="1">IFERROR(__xludf.DUMMYFUNCTION("""COMPUTED_VALUE"""),"RTL15CG-1CKA25")</f>
        <v>RTL15CG-1CKA25</v>
      </c>
      <c r="D143" s="4" t="str">
        <f ca="1">IFERROR(__xludf.DUMMYFUNCTION("""COMPUTED_VALUE"""),"Mobile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об"&amp;"мен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контраг"&amp;"ентах,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3" s="4" t="str">
        <f ca="1">IFERROR(__xludf.DUMMYFUNCTION("""COMPUTED_VALUE"""),"Mobile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</v>
      </c>
      <c r="F143" s="5">
        <f ca="1">IFERROR(__xludf.DUMMYFUNCTION("""COMPUTED_VALUE"""),28250)</f>
        <v>28250</v>
      </c>
    </row>
    <row r="144" spans="1:6" ht="86.25" customHeight="1" x14ac:dyDescent="0.2">
      <c r="A144" s="4" t="str">
        <f ca="1">IFERROR(__xludf.DUMMYFUNCTION("""COMPUTED_VALUE"""),"«1С: Управление торговлей 10.3»")</f>
        <v>«1С: Управление торговлей 10.3»</v>
      </c>
      <c r="B144" s="4" t="str">
        <f ca="1">IFERROR(__xludf.DUMMYFUNCTION("""COMPUTED_VALUE"""),"МИНИМУМ")</f>
        <v>МИНИМУМ</v>
      </c>
      <c r="C144" s="4" t="str">
        <f ca="1">IFERROR(__xludf.DUMMYFUNCTION("""COMPUTED_VALUE"""),"RTL15M-1CUT103")</f>
        <v>RTL15M-1CUT103</v>
      </c>
      <c r="D144" s="4" t="str">
        <f ca="1">IFERROR(__xludf.DUMMYFUNCTION("""COMPUTED_VALUE"""),"Mobile SMARTS: Магазин 15, МИНИМУМ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н"&amp;"астройка,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"&amp;"год")</f>
        <v>Mobile SMARTS: Магазин 15, МИНИМУМ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44" s="4" t="str">
        <f ca="1">IFERROR(__xludf.DUMMYFUNCTION("""COMPUTED_VALUE"""),"Mobile SMARTS: Магазин 15, МИНИМУМ для «1С: Управление торговлей 10.3», для работы с товаром по штрихкодам ")</f>
        <v xml:space="preserve">Mobile SMARTS: Магазин 15, МИНИМУМ для «1С: Управление торговлей 10.3», для работы с товаром по штрихкодам </v>
      </c>
      <c r="F144" s="5">
        <f ca="1">IFERROR(__xludf.DUMMYFUNCTION("""COMPUTED_VALUE"""),3450)</f>
        <v>3450</v>
      </c>
    </row>
    <row r="145" spans="1:6" ht="86.25" customHeight="1" x14ac:dyDescent="0.2">
      <c r="A145" s="4" t="str">
        <f ca="1">IFERROR(__xludf.DUMMYFUNCTION("""COMPUTED_VALUE"""),"«1С: Управление торговлей 10.3»")</f>
        <v>«1С: Управление торговлей 10.3»</v>
      </c>
      <c r="B145" s="4" t="str">
        <f ca="1">IFERROR(__xludf.DUMMYFUNCTION("""COMPUTED_VALUE"""),"БАЗОВЫЙ")</f>
        <v>БАЗОВЫЙ</v>
      </c>
      <c r="C145" s="4" t="str">
        <f ca="1">IFERROR(__xludf.DUMMYFUNCTION("""COMPUTED_VALUE"""),"RTL15A-1CUT103")</f>
        <v>RTL15A-1CUT103</v>
      </c>
      <c r="D145" s="4" t="str">
        <f ca="1">IFERROR(__xludf.DUMMYFUNCTION("""COMPUTED_VALUE"""),"Mobile SMARTS: Магазин 15, БАЗОВЫЙ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5" s="4" t="str">
        <f ca="1">IFERROR(__xludf.DUMMYFUNCTION("""COMPUTED_VALUE"""),"Mobile SMARTS: Магазин 15, БАЗОВЫЙ для «1С: Управление торговлей 10.3», для работы с товаром по штрихкодам ")</f>
        <v xml:space="preserve">Mobile SMARTS: Магазин 15, БАЗОВЫЙ для «1С: Управление торговлей 10.3», для работы с товаром по штрихкодам </v>
      </c>
      <c r="F145" s="5">
        <f ca="1">IFERROR(__xludf.DUMMYFUNCTION("""COMPUTED_VALUE"""),8650)</f>
        <v>8650</v>
      </c>
    </row>
    <row r="146" spans="1:6" ht="86.25" customHeight="1" x14ac:dyDescent="0.2">
      <c r="A146" s="4" t="str">
        <f ca="1">IFERROR(__xludf.DUMMYFUNCTION("""COMPUTED_VALUE"""),"«1С: Управление торговлей 10.3»")</f>
        <v>«1С: Управление торговлей 10.3»</v>
      </c>
      <c r="B146" s="4" t="str">
        <f ca="1">IFERROR(__xludf.DUMMYFUNCTION("""COMPUTED_VALUE"""),"РАСШИРЕННЫЙ")</f>
        <v>РАСШИРЕННЫЙ</v>
      </c>
      <c r="C146" s="4" t="str">
        <f ca="1">IFERROR(__xludf.DUMMYFUNCTION("""COMPUTED_VALUE"""),"RTL15B-1CUT103")</f>
        <v>RTL15B-1CUT103</v>
      </c>
      <c r="D146" s="4" t="str">
        <f ca="1">IFERROR(__xludf.DUMMYFUNCTION("""COMPUTED_VALUE"""),"Mobile SMARTS: Магазин 15, РАСШИРЕННЫЙ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6" s="4" t="str">
        <f ca="1">IFERROR(__xludf.DUMMYFUNCTION("""COMPUTED_VALUE"""),"Mobile SMARTS: Магазин 15, РАСШИРЕННЫЙ для «1С: Управление торговлей 10.3», для работы с товаром по штрихкодам ")</f>
        <v xml:space="preserve">Mobile SMARTS: Магазин 15, РАСШИРЕННЫЙ для «1С: Управление торговлей 10.3», для работы с товаром по штрихкодам </v>
      </c>
      <c r="F146" s="5">
        <f ca="1">IFERROR(__xludf.DUMMYFUNCTION("""COMPUTED_VALUE"""),15050)</f>
        <v>15050</v>
      </c>
    </row>
    <row r="147" spans="1:6" ht="86.25" customHeight="1" x14ac:dyDescent="0.2">
      <c r="A147" s="4" t="str">
        <f ca="1">IFERROR(__xludf.DUMMYFUNCTION("""COMPUTED_VALUE"""),"«1С: Управление торговлей 10.3»")</f>
        <v>«1С: Управление торговлей 10.3»</v>
      </c>
      <c r="B147" s="4" t="str">
        <f ca="1">IFERROR(__xludf.DUMMYFUNCTION("""COMPUTED_VALUE"""),"МЕГАМАРКЕТ")</f>
        <v>МЕГАМАРКЕТ</v>
      </c>
      <c r="C147" s="4" t="str">
        <f ca="1">IFERROR(__xludf.DUMMYFUNCTION("""COMPUTED_VALUE"""),"RTL15C-1CUT103")</f>
        <v>RTL15C-1CUT103</v>
      </c>
      <c r="D147" s="4" t="str">
        <f ca="1">IFERROR(__xludf.DUMMYFUNCTION("""COMPUTED_VALUE"""),"Mobile SMARTS: Магазин 15, МЕГАМАРКЕТ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7" s="4" t="str">
        <f ca="1">IFERROR(__xludf.DUMMYFUNCTION("""COMPUTED_VALUE"""),"Mobile SMARTS: Магазин 15, МЕГАМАРКЕТ для «1С: Управление торговлей 10.3», для работы с товаром по штрихкодам ")</f>
        <v xml:space="preserve">Mobile SMARTS: Магазин 15, МЕГАМАРКЕТ для «1С: Управление торговлей 10.3», для работы с товаром по штрихкодам </v>
      </c>
      <c r="F147" s="5">
        <f ca="1">IFERROR(__xludf.DUMMYFUNCTION("""COMPUTED_VALUE"""),21550)</f>
        <v>21550</v>
      </c>
    </row>
    <row r="148" spans="1:6" ht="86.25" customHeight="1" x14ac:dyDescent="0.2">
      <c r="A148" s="4" t="str">
        <f ca="1">IFERROR(__xludf.DUMMYFUNCTION("""COMPUTED_VALUE"""),"«1С: Управление торговлей 10.3»")</f>
        <v>«1С: Управление торговлей 10.3»</v>
      </c>
      <c r="B148" s="4" t="str">
        <f ca="1">IFERROR(__xludf.DUMMYFUNCTION("""COMPUTED_VALUE"""),"с ЕГАИС, БАЗОВЫЙ")</f>
        <v>с ЕГАИС, БАЗОВЫЙ</v>
      </c>
      <c r="C148" s="4" t="str">
        <f ca="1">IFERROR(__xludf.DUMMYFUNCTION("""COMPUTED_VALUE"""),"RTL15AE-1CUT103")</f>
        <v>RTL15AE-1CUT103</v>
      </c>
      <c r="D148" s="4" t="str">
        <f ca="1">IFERROR(__xludf.DUMMYFUNCTION("""COMPUTED_VALUE"""),"Mobile SMARTS: Магазин 15 с ЕГАИС, БАЗОВЫЙ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"&amp;"алкоголя,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информация"&amp;"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48" s="4" t="str">
        <f ca="1">IFERROR(__xludf.DUMMYFUNCTION("""COMPUTED_VALUE"""),"Mobile SMARTS: Магазин 15 с ЕГАИС, БАЗОВЫЙ для «1С: Управление торговлей 10.3», для работы с маркированным товаром: алкоголь ЕГАИС и товары по штрихкодам ")</f>
        <v xml:space="preserve">Mobile SMARTS: Магазин 15 с ЕГАИС, БАЗОВЫЙ для «1С: Управление торговлей 10.3», для работы с маркированным товаром: алкоголь ЕГАИС и товары по штрихкодам </v>
      </c>
      <c r="F148" s="5">
        <f ca="1">IFERROR(__xludf.DUMMYFUNCTION("""COMPUTED_VALUE"""),11000)</f>
        <v>11000</v>
      </c>
    </row>
    <row r="149" spans="1:6" ht="86.25" customHeight="1" x14ac:dyDescent="0.2">
      <c r="A149" s="4" t="str">
        <f ca="1">IFERROR(__xludf.DUMMYFUNCTION("""COMPUTED_VALUE"""),"«1С: Управление торговлей 10.3»")</f>
        <v>«1С: Управление торговлей 10.3»</v>
      </c>
      <c r="B149" s="4" t="str">
        <f ca="1">IFERROR(__xludf.DUMMYFUNCTION("""COMPUTED_VALUE"""),"с ЕГАИС, РАСШИРЕННЫЙ")</f>
        <v>с ЕГАИС, РАСШИРЕННЫЙ</v>
      </c>
      <c r="C149" s="4" t="str">
        <f ca="1">IFERROR(__xludf.DUMMYFUNCTION("""COMPUTED_VALUE"""),"RTL15BE-1CUT103")</f>
        <v>RTL15BE-1CUT103</v>
      </c>
      <c r="D149" s="4" t="str">
        <f ca="1">IFERROR(__xludf.DUMMYFUNCTION("""COMPUTED_VALUE"""),"Mobile SMARTS: Магазин 15 с ЕГАИС, РАСШИРЕННЫЙ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9" s="4" t="str">
        <f ca="1">IFERROR(__xludf.DUMMYFUNCTION("""COMPUTED_VALUE"""),"Mobile SMARTS: Магазин 15 с ЕГАИС, РАСШИРЕННЫЙ для «1С: Управление торговлей 10.3», для работы с маркированным товаром: алкоголь ЕГАИС и товары по штрихкодам ")</f>
        <v xml:space="preserve">Mobile SMARTS: Магазин 15 с ЕГАИС, РАСШИРЕННЫЙ для «1С: Управление торговлей 10.3», для работы с маркированным товаром: алкоголь ЕГАИС и товары по штрихкодам </v>
      </c>
      <c r="F149" s="5">
        <f ca="1">IFERROR(__xludf.DUMMYFUNCTION("""COMPUTED_VALUE"""),17450)</f>
        <v>17450</v>
      </c>
    </row>
    <row r="150" spans="1:6" ht="86.25" customHeight="1" x14ac:dyDescent="0.2">
      <c r="A150" s="4" t="str">
        <f ca="1">IFERROR(__xludf.DUMMYFUNCTION("""COMPUTED_VALUE"""),"«1С: Управление торговлей 10.3»")</f>
        <v>«1С: Управление торговлей 10.3»</v>
      </c>
      <c r="B150" s="4" t="str">
        <f ca="1">IFERROR(__xludf.DUMMYFUNCTION("""COMPUTED_VALUE"""),"с ЕГАИС (без CheckMark2), МЕГАМАРКЕТ")</f>
        <v>с ЕГАИС (без CheckMark2), МЕГАМАРКЕТ</v>
      </c>
      <c r="C150" s="4" t="str">
        <f ca="1">IFERROR(__xludf.DUMMYFUNCTION("""COMPUTED_VALUE"""),"RTL15CEV-1CUT103")</f>
        <v>RTL15CEV-1CUT103</v>
      </c>
      <c r="D150" s="4" t="str">
        <f ca="1">IFERROR(__xludf.DUMMYFUNCTION("""COMPUTED_VALUE"""),"Mobile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досту"&amp;"пные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работа"&amp;",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0" s="4" t="str">
        <f ca="1">IFERROR(__xludf.DUMMYFUNCTION("""COMPUTED_VALUE"""),"Mobile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</v>
      </c>
      <c r="F150" s="5">
        <f ca="1">IFERROR(__xludf.DUMMYFUNCTION("""COMPUTED_VALUE"""),23850)</f>
        <v>23850</v>
      </c>
    </row>
    <row r="151" spans="1:6" ht="86.25" customHeight="1" x14ac:dyDescent="0.2">
      <c r="A151" s="4" t="str">
        <f ca="1">IFERROR(__xludf.DUMMYFUNCTION("""COMPUTED_VALUE"""),"«1С: Управление торговлей 10.3.59»")</f>
        <v>«1С: Управление торговлей 10.3.59»</v>
      </c>
      <c r="B151" s="4" t="str">
        <f ca="1">IFERROR(__xludf.DUMMYFUNCTION("""COMPUTED_VALUE"""),"с МОТП, БАЗОВЫЙ")</f>
        <v>с МОТП, БАЗОВЫЙ</v>
      </c>
      <c r="C151" s="4" t="str">
        <f ca="1">IFERROR(__xludf.DUMMYFUNCTION("""COMPUTED_VALUE"""),"RTL15AT-1CUT103")</f>
        <v>RTL15AT-1CUT103</v>
      </c>
      <c r="D151" s="4" t="str">
        <f ca="1">IFERROR(__xludf.DUMMYFUNCTION("""COMPUTED_VALUE"""),"Mobile SMARTS: Магазин 15 с МОТП, БАЗОВЫЙ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"&amp;"(в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"&amp;"о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1" s="4" t="str">
        <f ca="1">IFERROR(__xludf.DUMMYFUNCTION("""COMPUTED_VALUE"""),"Mobile SMARTS: Магазин 15 с МОТП, БАЗОВЫЙ для «1С: Управление торговлей 10.3.59», для работы с маркированным товаром: ТАБАК и товары по штрихкодам ")</f>
        <v xml:space="preserve">Mobile SMARTS: Магазин 15 с МОТП, БАЗОВЫЙ для «1С: Управление торговлей 10.3.59», для работы с маркированным товаром: ТАБАК и товары по штрихкодам </v>
      </c>
      <c r="F151" s="5">
        <f ca="1">IFERROR(__xludf.DUMMYFUNCTION("""COMPUTED_VALUE"""),11150)</f>
        <v>11150</v>
      </c>
    </row>
    <row r="152" spans="1:6" ht="86.25" customHeight="1" x14ac:dyDescent="0.2">
      <c r="A152" s="4" t="str">
        <f ca="1">IFERROR(__xludf.DUMMYFUNCTION("""COMPUTED_VALUE"""),"«1С: Управление торговлей 10.3.59»")</f>
        <v>«1С: Управление торговлей 10.3.59»</v>
      </c>
      <c r="B152" s="4" t="str">
        <f ca="1">IFERROR(__xludf.DUMMYFUNCTION("""COMPUTED_VALUE"""),"с МОТП, РАСШИРЕННЫЙ")</f>
        <v>с МОТП, РАСШИРЕННЫЙ</v>
      </c>
      <c r="C152" s="4" t="str">
        <f ca="1">IFERROR(__xludf.DUMMYFUNCTION("""COMPUTED_VALUE"""),"RTL15BT-1CUT103")</f>
        <v>RTL15BT-1CUT103</v>
      </c>
      <c r="D152" s="4" t="str">
        <f ca="1">IFERROR(__xludf.DUMMYFUNCTION("""COMPUTED_VALUE"""),"Mobile SMARTS: Магазин 15 с МОТП, РАСШИРЕННЫЙ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поступле"&amp;"ние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информа"&amp;"ция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2" s="4" t="str">
        <f ca="1">IFERROR(__xludf.DUMMYFUNCTION("""COMPUTED_VALUE"""),"Mobile SMARTS: Магазин 15 с МОТП, РАСШИРЕННЫЙ для «1С: Управление торговлей 10.3.59», для работы с маркированным товаром: ТАБАК и товары по штрихкодам ")</f>
        <v xml:space="preserve">Mobile SMARTS: Магазин 15 с МОТП, РАСШИРЕННЫЙ для «1С: Управление торговлей 10.3.59», для работы с маркированным товаром: ТАБАК и товары по штрихкодам </v>
      </c>
      <c r="F152" s="5">
        <f ca="1">IFERROR(__xludf.DUMMYFUNCTION("""COMPUTED_VALUE"""),17450)</f>
        <v>17450</v>
      </c>
    </row>
    <row r="153" spans="1:6" ht="86.25" customHeight="1" x14ac:dyDescent="0.2">
      <c r="A153" s="4" t="str">
        <f ca="1">IFERROR(__xludf.DUMMYFUNCTION("""COMPUTED_VALUE"""),"«1С: Управление торговлей 10.3.59»")</f>
        <v>«1С: Управление торговлей 10.3.59»</v>
      </c>
      <c r="B153" s="4" t="str">
        <f ca="1">IFERROR(__xludf.DUMMYFUNCTION("""COMPUTED_VALUE"""),"с МОТП, МЕГАМАРКЕТ")</f>
        <v>с МОТП, МЕГАМАРКЕТ</v>
      </c>
      <c r="C153" s="4" t="str">
        <f ca="1">IFERROR(__xludf.DUMMYFUNCTION("""COMPUTED_VALUE"""),"RTL15CT-1CUT103")</f>
        <v>RTL15CT-1CUT103</v>
      </c>
      <c r="D153" s="4" t="str">
        <f ca="1">IFERROR(__xludf.DUMMYFUNCTION("""COMPUTED_VALUE"""),"Mobile SMARTS: Магазин 15 с МОТП, МЕГАМАРКЕТ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поступлен"&amp;"ие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коллекти"&amp;"вная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на"&amp;" 1 (один) год")</f>
        <v>Mobile SMARTS: Магазин 15 с МОТП, МЕГАМАРКЕТ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3" s="4" t="str">
        <f ca="1">IFERROR(__xludf.DUMMYFUNCTION("""COMPUTED_VALUE"""),"Mobile SMARTS: Магазин 15 с МОТП, МЕГАМАРКЕТ для «1С: Управление торговлей 10.3.59», для работы с маркированным товаром: ТАБАК и товары по штрихкодам ")</f>
        <v xml:space="preserve">Mobile SMARTS: Магазин 15 с МОТП, МЕГАМАРКЕТ для «1С: Управление торговлей 10.3.59», для работы с маркированным товаром: ТАБАК и товары по штрихкодам </v>
      </c>
      <c r="F153" s="5">
        <f ca="1">IFERROR(__xludf.DUMMYFUNCTION("""COMPUTED_VALUE"""),23850)</f>
        <v>23850</v>
      </c>
    </row>
    <row r="154" spans="1:6" ht="86.25" customHeight="1" x14ac:dyDescent="0.2">
      <c r="A154" s="4" t="str">
        <f ca="1">IFERROR(__xludf.DUMMYFUNCTION("""COMPUTED_VALUE"""),"«1С: Управление торговлей 10.3.59»")</f>
        <v>«1С: Управление торговлей 10.3.59»</v>
      </c>
      <c r="B154" s="4" t="str">
        <f ca="1">IFERROR(__xludf.DUMMYFUNCTION("""COMPUTED_VALUE"""),"с ЕГАИС и МОТП, БАЗОВЫЙ")</f>
        <v>с ЕГАИС и МОТП, БАЗОВЫЙ</v>
      </c>
      <c r="C154" s="4" t="str">
        <f ca="1">IFERROR(__xludf.DUMMYFUNCTION("""COMPUTED_VALUE"""),"RTL15AET-1CUT103")</f>
        <v>RTL15AET-1CUT103</v>
      </c>
      <c r="D154" s="4" t="str">
        <f ca="1">IFERROR(__xludf.DUMMYFUNCTION("""COMPUTED_VALUE"""),"Mobile SMARTS: Магазин 15 с ЕГАИС и МОТП, БАЗОВЫЙ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опер"&amp;"ации: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"&amp;"возможность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4" s="4" t="str">
        <f ca="1">IFERROR(__xludf.DUMMYFUNCTION("""COMPUTED_VALUE"""),"Mobile SMARTS: Магазин 15 с ЕГАИС и МОТП, БАЗОВЫЙ для «1С: Управление торговлей 10.3.59», для работы с маркированным товаром: АЛКОГОЛЬ, ТАБАК и товары по штрихкодам ")</f>
        <v xml:space="preserve">Mobile SMARTS: Магазин 15 с ЕГАИС и МОТП, БАЗОВЫЙ для «1С: Управление торговлей 10.3.59», для работы с маркированным товаром: АЛКОГОЛЬ, ТАБАК и товары по штрихкодам </v>
      </c>
      <c r="F154" s="5">
        <f ca="1">IFERROR(__xludf.DUMMYFUNCTION("""COMPUTED_VALUE"""),12150)</f>
        <v>12150</v>
      </c>
    </row>
    <row r="155" spans="1:6" ht="86.25" customHeight="1" x14ac:dyDescent="0.2">
      <c r="A155" s="4" t="str">
        <f ca="1">IFERROR(__xludf.DUMMYFUNCTION("""COMPUTED_VALUE"""),"«1С: Управление торговлей 10.3.59»")</f>
        <v>«1С: Управление торговлей 10.3.59»</v>
      </c>
      <c r="B155" s="4" t="str">
        <f ca="1">IFERROR(__xludf.DUMMYFUNCTION("""COMPUTED_VALUE"""),"с ЕГАИС и МОТП, РАСШИРЕННЫЙ")</f>
        <v>с ЕГАИС и МОТП, РАСШИРЕННЫЙ</v>
      </c>
      <c r="C155" s="4" t="str">
        <f ca="1">IFERROR(__xludf.DUMMYFUNCTION("""COMPUTED_VALUE"""),"RTL15BET-1CUT103")</f>
        <v>RTL15BET-1CUT103</v>
      </c>
      <c r="D155" s="4" t="str">
        <f ca="1">IFERROR(__xludf.DUMMYFUNCTION("""COMPUTED_VALUE"""),"Mobile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операци"&amp;"й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5" s="4" t="str">
        <f ca="1">IFERROR(__xludf.DUMMYFUNCTION("""COMPUTED_VALUE"""),"Mobile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")</f>
        <v xml:space="preserve">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</v>
      </c>
      <c r="F155" s="5">
        <f ca="1">IFERROR(__xludf.DUMMYFUNCTION("""COMPUTED_VALUE"""),18550)</f>
        <v>18550</v>
      </c>
    </row>
    <row r="156" spans="1:6" ht="86.25" customHeight="1" x14ac:dyDescent="0.2">
      <c r="A156" s="4" t="str">
        <f ca="1">IFERROR(__xludf.DUMMYFUNCTION("""COMPUTED_VALUE"""),"«1С: Управление торговлей 10.3.59»")</f>
        <v>«1С: Управление торговлей 10.3.59»</v>
      </c>
      <c r="B156" s="4" t="str">
        <f ca="1">IFERROR(__xludf.DUMMYFUNCTION("""COMPUTED_VALUE"""),"с ЕГАИС и МОТП, МЕГАМАРКЕТ")</f>
        <v>с ЕГАИС и МОТП, МЕГАМАРКЕТ</v>
      </c>
      <c r="C156" s="4" t="str">
        <f ca="1">IFERROR(__xludf.DUMMYFUNCTION("""COMPUTED_VALUE"""),"RTL15CET-1CUT103")</f>
        <v>RTL15CET-1CUT103</v>
      </c>
      <c r="D156" s="4" t="str">
        <f ca="1">IFERROR(__xludf.DUMMYFUNCTION("""COMPUTED_VALUE"""),"Mobile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о"&amp;"перации: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6" s="4" t="str">
        <f ca="1">IFERROR(__xludf.DUMMYFUNCTION("""COMPUTED_VALUE"""),"Mobile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")</f>
        <v xml:space="preserve">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</v>
      </c>
      <c r="F156" s="5">
        <f ca="1">IFERROR(__xludf.DUMMYFUNCTION("""COMPUTED_VALUE"""),26350)</f>
        <v>26350</v>
      </c>
    </row>
    <row r="157" spans="1:6" ht="86.25" customHeight="1" x14ac:dyDescent="0.2">
      <c r="A157" s="4" t="str">
        <f ca="1">IFERROR(__xludf.DUMMYFUNCTION("""COMPUTED_VALUE"""),"«1С: Управление торговлей 10.3.59»")</f>
        <v>«1С: Управление торговлей 10.3.59»</v>
      </c>
      <c r="B157" s="4" t="str">
        <f ca="1">IFERROR(__xludf.DUMMYFUNCTION("""COMPUTED_VALUE"""),"ШМОТКИ, БАЗОВЫЙ")</f>
        <v>ШМОТКИ, БАЗОВЫЙ</v>
      </c>
      <c r="C157" s="4" t="str">
        <f ca="1">IFERROR(__xludf.DUMMYFUNCTION("""COMPUTED_VALUE"""),"RTL15AK-1CUT103")</f>
        <v>RTL15AK-1CUT103</v>
      </c>
      <c r="D157" s="4" t="str">
        <f ca="1">IFERROR(__xludf.DUMMYFUNCTION("""COMPUTED_VALUE"""),"Mobile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7" s="4" t="str">
        <f ca="1">IFERROR(__xludf.DUMMYFUNCTION("""COMPUTED_VALUE"""),"Mobile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")</f>
        <v xml:space="preserve">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</v>
      </c>
      <c r="F157" s="5">
        <f ca="1">IFERROR(__xludf.DUMMYFUNCTION("""COMPUTED_VALUE"""),12150)</f>
        <v>12150</v>
      </c>
    </row>
    <row r="158" spans="1:6" ht="86.25" customHeight="1" x14ac:dyDescent="0.2">
      <c r="A158" s="4" t="str">
        <f ca="1">IFERROR(__xludf.DUMMYFUNCTION("""COMPUTED_VALUE"""),"«1С: Управление торговлей 10.3.59»")</f>
        <v>«1С: Управление торговлей 10.3.59»</v>
      </c>
      <c r="B158" s="4" t="str">
        <f ca="1">IFERROR(__xludf.DUMMYFUNCTION("""COMPUTED_VALUE"""),"ШМОТКИ, РАСШИРЕННЫЙ")</f>
        <v>ШМОТКИ, РАСШИРЕННЫЙ</v>
      </c>
      <c r="C158" s="4" t="str">
        <f ca="1">IFERROR(__xludf.DUMMYFUNCTION("""COMPUTED_VALUE"""),"RTL15BK-1CUT103")</f>
        <v>RTL15BK-1CUT103</v>
      </c>
      <c r="D158" s="4" t="str">
        <f ca="1">IFERROR(__xludf.DUMMYFUNCTION("""COMPUTED_VALUE"""),"Mobile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доступ"&amp;"ные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"&amp;"/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8" s="4" t="str">
        <f ca="1">IFERROR(__xludf.DUMMYFUNCTION("""COMPUTED_VALUE"""),"Mobile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</v>
      </c>
      <c r="F158" s="5">
        <f ca="1">IFERROR(__xludf.DUMMYFUNCTION("""COMPUTED_VALUE"""),18550)</f>
        <v>18550</v>
      </c>
    </row>
    <row r="159" spans="1:6" ht="86.25" customHeight="1" x14ac:dyDescent="0.2">
      <c r="A159" s="4" t="str">
        <f ca="1">IFERROR(__xludf.DUMMYFUNCTION("""COMPUTED_VALUE"""),"«1С: Управление торговлей 10.3.59»")</f>
        <v>«1С: Управление торговлей 10.3.59»</v>
      </c>
      <c r="B159" s="4" t="str">
        <f ca="1">IFERROR(__xludf.DUMMYFUNCTION("""COMPUTED_VALUE"""),"ШМОТКИ, МЕГАМАРКЕТ")</f>
        <v>ШМОТКИ, МЕГАМАРКЕТ</v>
      </c>
      <c r="C159" s="4" t="str">
        <f ca="1">IFERROR(__xludf.DUMMYFUNCTION("""COMPUTED_VALUE"""),"RTL15CK-1CUT103")</f>
        <v>RTL15CK-1CUT103</v>
      </c>
      <c r="D159" s="4" t="str">
        <f ca="1">IFERROR(__xludf.DUMMYFUNCTION("""COMPUTED_VALUE"""),"Mobile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доступн"&amp;"ые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/"&amp;"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о"&amp;"бмен через Интернет на 1 (один) год")</f>
        <v>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9" s="4" t="str">
        <f ca="1">IFERROR(__xludf.DUMMYFUNCTION("""COMPUTED_VALUE"""),"Mobile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</v>
      </c>
      <c r="F159" s="5">
        <f ca="1">IFERROR(__xludf.DUMMYFUNCTION("""COMPUTED_VALUE"""),26350)</f>
        <v>26350</v>
      </c>
    </row>
    <row r="160" spans="1:6" ht="86.25" customHeight="1" x14ac:dyDescent="0.2">
      <c r="A160" s="4" t="str">
        <f ca="1">IFERROR(__xludf.DUMMYFUNCTION("""COMPUTED_VALUE"""),"«1С: Управление торговлей 10.3.59»")</f>
        <v>«1С: Управление торговлей 10.3.59»</v>
      </c>
      <c r="B160" s="4" t="str">
        <f ca="1">IFERROR(__xludf.DUMMYFUNCTION("""COMPUTED_VALUE"""),"ПРОДУКТОВЫЙ, БАЗОВЫЙ")</f>
        <v>ПРОДУКТОВЫЙ, БАЗОВЫЙ</v>
      </c>
      <c r="C160" s="4" t="str">
        <f ca="1">IFERROR(__xludf.DUMMYFUNCTION("""COMPUTED_VALUE"""),"RTL15AG-1CUT103")</f>
        <v>RTL15AG-1CUT103</v>
      </c>
      <c r="D160" s="4" t="str">
        <f ca="1">IFERROR(__xludf.DUMMYFUNCTION("""COMPUTED_VALUE"""),"Mobile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"&amp;"через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0" s="4" t="str">
        <f ca="1">IFERROR(__xludf.DUMMYFUNCTION("""COMPUTED_VALUE"""),"Mobile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</v>
      </c>
      <c r="F160" s="5">
        <f ca="1">IFERROR(__xludf.DUMMYFUNCTION("""COMPUTED_VALUE"""),14550)</f>
        <v>14550</v>
      </c>
    </row>
    <row r="161" spans="1:6" ht="86.25" customHeight="1" x14ac:dyDescent="0.2">
      <c r="A161" s="4" t="str">
        <f ca="1">IFERROR(__xludf.DUMMYFUNCTION("""COMPUTED_VALUE"""),"«1С: Управление торговлей 10.3.59»")</f>
        <v>«1С: Управление торговлей 10.3.59»</v>
      </c>
      <c r="B161" s="4" t="str">
        <f ca="1">IFERROR(__xludf.DUMMYFUNCTION("""COMPUTED_VALUE"""),"ПРОДУКТОВЫЙ, РАСШИРЕННЫЙ")</f>
        <v>ПРОДУКТОВЫЙ, РАСШИРЕННЫЙ</v>
      </c>
      <c r="C161" s="4" t="str">
        <f ca="1">IFERROR(__xludf.DUMMYFUNCTION("""COMPUTED_VALUE"""),"RTL15BG-1CUT103")</f>
        <v>RTL15BG-1CUT103</v>
      </c>
      <c r="D161" s="4" t="str">
        <f ca="1">IFERROR(__xludf.DUMMYFUNCTION("""COMPUTED_VALUE"""),"Mobile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об"&amp;"мен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1" s="4" t="str">
        <f ca="1">IFERROR(__xludf.DUMMYFUNCTION("""COMPUTED_VALUE"""),"Mobile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</v>
      </c>
      <c r="F161" s="5">
        <f ca="1">IFERROR(__xludf.DUMMYFUNCTION("""COMPUTED_VALUE"""),20950)</f>
        <v>20950</v>
      </c>
    </row>
    <row r="162" spans="1:6" ht="86.25" customHeight="1" x14ac:dyDescent="0.2">
      <c r="A162" s="4" t="str">
        <f ca="1">IFERROR(__xludf.DUMMYFUNCTION("""COMPUTED_VALUE"""),"«1С: Управление торговлей 10.3.59»")</f>
        <v>«1С: Управление торговлей 10.3.59»</v>
      </c>
      <c r="B162" s="4" t="str">
        <f ca="1">IFERROR(__xludf.DUMMYFUNCTION("""COMPUTED_VALUE"""),"ПРОДУКТОВЫЙ, МЕГАМАРКЕТ")</f>
        <v>ПРОДУКТОВЫЙ, МЕГАМАРКЕТ</v>
      </c>
      <c r="C162" s="4" t="str">
        <f ca="1">IFERROR(__xludf.DUMMYFUNCTION("""COMPUTED_VALUE"""),"RTL15CG-1CUT103")</f>
        <v>RTL15CG-1CUT103</v>
      </c>
      <c r="D162" s="4" t="str">
        <f ca="1">IFERROR(__xludf.DUMMYFUNCTION("""COMPUTED_VALUE"""),"Mobile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зака"&amp;"за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2" s="4" t="str">
        <f ca="1">IFERROR(__xludf.DUMMYFUNCTION("""COMPUTED_VALUE"""),"Mobile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</v>
      </c>
      <c r="F162" s="5">
        <f ca="1">IFERROR(__xludf.DUMMYFUNCTION("""COMPUTED_VALUE"""),28250)</f>
        <v>28250</v>
      </c>
    </row>
    <row r="163" spans="1:6" ht="86.25" customHeight="1" x14ac:dyDescent="0.2">
      <c r="A163" s="4" t="str">
        <f ca="1">IFERROR(__xludf.DUMMYFUNCTION("""COMPUTED_VALUE"""),"«1С: Комплексная автоматизация 1.1»")</f>
        <v>«1С: Комплексная автоматизация 1.1»</v>
      </c>
      <c r="B163" s="4" t="str">
        <f ca="1">IFERROR(__xludf.DUMMYFUNCTION("""COMPUTED_VALUE"""),"МИНИМУМ")</f>
        <v>МИНИМУМ</v>
      </c>
      <c r="C163" s="4" t="str">
        <f ca="1">IFERROR(__xludf.DUMMYFUNCTION("""COMPUTED_VALUE"""),"RTL15M-1CKA11")</f>
        <v>RTL15M-1CKA11</v>
      </c>
      <c r="D163" s="4" t="str">
        <f ca="1">IFERROR(__xludf.DUMMYFUNCTION("""COMPUTED_VALUE"""),"Mobile SMARTS: Магазин 15, МИНИМУМ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товаро"&amp;"в,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(од"&amp;"ин) год")</f>
        <v>Mobile SMARTS: Магазин 15, МИНИМУМ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63" s="4" t="str">
        <f ca="1">IFERROR(__xludf.DUMMYFUNCTION("""COMPUTED_VALUE"""),"Mobile SMARTS: Магазин 15, МИНИМУМ для «1С: Комплексная автоматизация 1.1», для работы с товаром по штрихкодам ")</f>
        <v xml:space="preserve">Mobile SMARTS: Магазин 15, МИНИМУМ для «1С: Комплексная автоматизация 1.1», для работы с товаром по штрихкодам </v>
      </c>
      <c r="F163" s="5">
        <f ca="1">IFERROR(__xludf.DUMMYFUNCTION("""COMPUTED_VALUE"""),3450)</f>
        <v>3450</v>
      </c>
    </row>
    <row r="164" spans="1:6" ht="86.25" customHeight="1" x14ac:dyDescent="0.2">
      <c r="A164" s="4" t="str">
        <f ca="1">IFERROR(__xludf.DUMMYFUNCTION("""COMPUTED_VALUE"""),"«1С: Комплексная автоматизация 1.1»")</f>
        <v>«1С: Комплексная автоматизация 1.1»</v>
      </c>
      <c r="B164" s="4" t="str">
        <f ca="1">IFERROR(__xludf.DUMMYFUNCTION("""COMPUTED_VALUE"""),"БАЗОВЫЙ")</f>
        <v>БАЗОВЫЙ</v>
      </c>
      <c r="C164" s="4" t="str">
        <f ca="1">IFERROR(__xludf.DUMMYFUNCTION("""COMPUTED_VALUE"""),"RTL15A-1CKA11")</f>
        <v>RTL15A-1CKA11</v>
      </c>
      <c r="D164" s="4" t="str">
        <f ca="1">IFERROR(__xludf.DUMMYFUNCTION("""COMPUTED_VALUE"""),"Mobile SMARTS: Магазин 15, БАЗОВЫЙ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4" s="4" t="str">
        <f ca="1">IFERROR(__xludf.DUMMYFUNCTION("""COMPUTED_VALUE"""),"Mobile SMARTS: Магазин 15, БАЗОВЫЙ для «1С: Комплексная автоматизация 1.1», для работы с товаром по штрихкодам ")</f>
        <v xml:space="preserve">Mobile SMARTS: Магазин 15, БАЗОВЫЙ для «1С: Комплексная автоматизация 1.1», для работы с товаром по штрихкодам </v>
      </c>
      <c r="F164" s="5">
        <f ca="1">IFERROR(__xludf.DUMMYFUNCTION("""COMPUTED_VALUE"""),8650)</f>
        <v>8650</v>
      </c>
    </row>
    <row r="165" spans="1:6" ht="86.25" customHeight="1" x14ac:dyDescent="0.2">
      <c r="A165" s="4" t="str">
        <f ca="1">IFERROR(__xludf.DUMMYFUNCTION("""COMPUTED_VALUE"""),"«1С: Комплексная автоматизация 1.1»")</f>
        <v>«1С: Комплексная автоматизация 1.1»</v>
      </c>
      <c r="B165" s="4" t="str">
        <f ca="1">IFERROR(__xludf.DUMMYFUNCTION("""COMPUTED_VALUE"""),"РАСШИРЕННЫЙ")</f>
        <v>РАСШИРЕННЫЙ</v>
      </c>
      <c r="C165" s="4" t="str">
        <f ca="1">IFERROR(__xludf.DUMMYFUNCTION("""COMPUTED_VALUE"""),"RTL15B-1CKA11")</f>
        <v>RTL15B-1CKA11</v>
      </c>
      <c r="D165" s="4" t="str">
        <f ca="1">IFERROR(__xludf.DUMMYFUNCTION("""COMPUTED_VALUE"""),"Mobile SMARTS: Магазин 15, РАСШИРЕННЫЙ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5" s="4" t="str">
        <f ca="1">IFERROR(__xludf.DUMMYFUNCTION("""COMPUTED_VALUE"""),"Mobile SMARTS: Магазин 15, РАСШИРЕННЫЙ для «1С: Комплексная автоматизация 1.1», для работы с товаром по штрихкодам ")</f>
        <v xml:space="preserve">Mobile SMARTS: Магазин 15, РАСШИРЕННЫЙ для «1С: Комплексная автоматизация 1.1», для работы с товаром по штрихкодам </v>
      </c>
      <c r="F165" s="5">
        <f ca="1">IFERROR(__xludf.DUMMYFUNCTION("""COMPUTED_VALUE"""),15050)</f>
        <v>15050</v>
      </c>
    </row>
    <row r="166" spans="1:6" ht="86.25" customHeight="1" x14ac:dyDescent="0.2">
      <c r="A166" s="4" t="str">
        <f ca="1">IFERROR(__xludf.DUMMYFUNCTION("""COMPUTED_VALUE"""),"«1С: Комплексная автоматизация 1.1»")</f>
        <v>«1С: Комплексная автоматизация 1.1»</v>
      </c>
      <c r="B166" s="4" t="str">
        <f ca="1">IFERROR(__xludf.DUMMYFUNCTION("""COMPUTED_VALUE"""),"МЕГАМАРКЕТ")</f>
        <v>МЕГАМАРКЕТ</v>
      </c>
      <c r="C166" s="4" t="str">
        <f ca="1">IFERROR(__xludf.DUMMYFUNCTION("""COMPUTED_VALUE"""),"RTL15C-1CKA11")</f>
        <v>RTL15C-1CKA11</v>
      </c>
      <c r="D166" s="4" t="str">
        <f ca="1">IFERROR(__xludf.DUMMYFUNCTION("""COMPUTED_VALUE"""),"Mobile SMARTS: Магазин 15, МЕГАМАРКЕТ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6" s="4" t="str">
        <f ca="1">IFERROR(__xludf.DUMMYFUNCTION("""COMPUTED_VALUE"""),"Mobile SMARTS: Магазин 15, МЕГАМАРКЕТ для «1С: Комплексная автоматизация 1.1», для работы с товаром по штрихкодам ")</f>
        <v xml:space="preserve">Mobile SMARTS: Магазин 15, МЕГАМАРКЕТ для «1С: Комплексная автоматизация 1.1», для работы с товаром по штрихкодам </v>
      </c>
      <c r="F166" s="5">
        <f ca="1">IFERROR(__xludf.DUMMYFUNCTION("""COMPUTED_VALUE"""),21550)</f>
        <v>21550</v>
      </c>
    </row>
    <row r="167" spans="1:6" ht="86.25" customHeight="1" x14ac:dyDescent="0.2">
      <c r="A167" s="4" t="str">
        <f ca="1">IFERROR(__xludf.DUMMYFUNCTION("""COMPUTED_VALUE"""),"«1С: Комплексная автоматизация 1.1»")</f>
        <v>«1С: Комплексная автоматизация 1.1»</v>
      </c>
      <c r="B167" s="4" t="str">
        <f ca="1">IFERROR(__xludf.DUMMYFUNCTION("""COMPUTED_VALUE"""),"с ЕГАИС, БАЗОВЫЙ")</f>
        <v>с ЕГАИС, БАЗОВЫЙ</v>
      </c>
      <c r="C167" s="4" t="str">
        <f ca="1">IFERROR(__xludf.DUMMYFUNCTION("""COMPUTED_VALUE"""),"RTL15AE-1CKA11")</f>
        <v>RTL15AE-1CKA11</v>
      </c>
      <c r="D167" s="4" t="str">
        <f ca="1">IFERROR(__xludf.DUMMYFUNCTION("""COMPUTED_VALUE"""),"Mobile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бесп"&amp;"роводной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справочнико"&amp;"в,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п"&amp;"одписка на обновления и обмен через Интернет на 1 (один) год")</f>
        <v>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67" s="4" t="str">
        <f ca="1">IFERROR(__xludf.DUMMYFUNCTION("""COMPUTED_VALUE"""),"Mobile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67" s="5">
        <f ca="1">IFERROR(__xludf.DUMMYFUNCTION("""COMPUTED_VALUE"""),13000)</f>
        <v>13000</v>
      </c>
    </row>
    <row r="168" spans="1:6" ht="86.25" customHeight="1" x14ac:dyDescent="0.2">
      <c r="A168" s="4" t="str">
        <f ca="1">IFERROR(__xludf.DUMMYFUNCTION("""COMPUTED_VALUE"""),"«1С: Комплексная автоматизация 1.1»")</f>
        <v>«1С: Комплексная автоматизация 1.1»</v>
      </c>
      <c r="B168" s="4" t="str">
        <f ca="1">IFERROR(__xludf.DUMMYFUNCTION("""COMPUTED_VALUE"""),"с ЕГАИС, РАСШИРЕННЫЙ")</f>
        <v>с ЕГАИС, РАСШИРЕННЫЙ</v>
      </c>
      <c r="C168" s="4" t="str">
        <f ca="1">IFERROR(__xludf.DUMMYFUNCTION("""COMPUTED_VALUE"""),"RTL15BE-1CKA11")</f>
        <v>RTL15BE-1CKA11</v>
      </c>
      <c r="D168" s="4" t="str">
        <f ca="1">IFERROR(__xludf.DUMMYFUNCTION("""COMPUTED_VALUE"""),"Mobile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"&amp;"беспроводной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справоч"&amp;"ников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на"&amp;" обновления и обмен через Интернет на 1 (один) год")</f>
        <v>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8" s="4" t="str">
        <f ca="1">IFERROR(__xludf.DUMMYFUNCTION("""COMPUTED_VALUE"""),"Mobile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68" s="5">
        <f ca="1">IFERROR(__xludf.DUMMYFUNCTION("""COMPUTED_VALUE"""),19450)</f>
        <v>19450</v>
      </c>
    </row>
    <row r="169" spans="1:6" ht="86.25" customHeight="1" x14ac:dyDescent="0.2">
      <c r="A169" s="4" t="str">
        <f ca="1">IFERROR(__xludf.DUMMYFUNCTION("""COMPUTED_VALUE"""),"«1С: Комплексная автоматизация 1.1»")</f>
        <v>«1С: Комплексная автоматизация 1.1»</v>
      </c>
      <c r="B169" s="4" t="str">
        <f ca="1">IFERROR(__xludf.DUMMYFUNCTION("""COMPUTED_VALUE"""),"с ЕГАИС (без CheckMark2), МЕГАМАРКЕТ")</f>
        <v>с ЕГАИС (без CheckMark2), МЕГАМАРКЕТ</v>
      </c>
      <c r="C169" s="4" t="str">
        <f ca="1">IFERROR(__xludf.DUMMYFUNCTION("""COMPUTED_VALUE"""),"RTL15CEV-1CKA11")</f>
        <v>RTL15CEV-1CKA11</v>
      </c>
      <c r="D169" s="4" t="str">
        <f ca="1">IFERROR(__xludf.DUMMYFUNCTION("""COMPUTED_VALUE"""),"Mobile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в"&amp;"ыбор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"&amp;"просмотр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бесср"&amp;"очная лицензия на 1 (одно) моб. устройство, подписка на обновления и обмен через Интернет на 1 (один) год")</f>
        <v>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9" s="4" t="str">
        <f ca="1">IFERROR(__xludf.DUMMYFUNCTION("""COMPUTED_VALUE"""),"Mobile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69" s="5">
        <f ca="1">IFERROR(__xludf.DUMMYFUNCTION("""COMPUTED_VALUE"""),25850)</f>
        <v>25850</v>
      </c>
    </row>
    <row r="170" spans="1:6" ht="86.25" customHeight="1" x14ac:dyDescent="0.2">
      <c r="A170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0" s="4" t="str">
        <f ca="1">IFERROR(__xludf.DUMMYFUNCTION("""COMPUTED_VALUE"""),"МИНИМУМ")</f>
        <v>МИНИМУМ</v>
      </c>
      <c r="C170" s="4" t="str">
        <f ca="1">IFERROR(__xludf.DUMMYFUNCTION("""COMPUTED_VALUE"""),"RTL15M-1CUPP13")</f>
        <v>RTL15M-1CUPP13</v>
      </c>
      <c r="D170" s="4" t="str">
        <f ca="1">IFERROR(__xludf.DUMMYFUNCTION("""COMPUTED_VALUE"""),"Mobile SMARTS: Магазин 15, МИНИМУМ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сбор штрихкодов, "&amp;"инвентаризация,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"&amp;"и обмен через Интернет на 1 (один) год")</f>
        <v>Mobile SMARTS: Магазин 15, МИНИМУМ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70" s="4" t="str">
        <f ca="1">IFERROR(__xludf.DUMMYFUNCTION("""COMPUTED_VALUE"""),"Mobile SMARTS: Магазин 15, МИНИМУМ для «1С: Управление производственным предприятием 1.3» (Обычные формы), для работы с товаром по штрихкодам ")</f>
        <v xml:space="preserve">Mobile SMARTS: Магазин 15, МИНИМУМ для «1С: Управление производственным предприятием 1.3» (Обычные формы), для работы с товаром по штрихкодам </v>
      </c>
      <c r="F170" s="5">
        <f ca="1">IFERROR(__xludf.DUMMYFUNCTION("""COMPUTED_VALUE"""),3450)</f>
        <v>3450</v>
      </c>
    </row>
    <row r="171" spans="1:6" ht="86.25" customHeight="1" x14ac:dyDescent="0.2">
      <c r="A171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1" s="4" t="str">
        <f ca="1">IFERROR(__xludf.DUMMYFUNCTION("""COMPUTED_VALUE"""),"БАЗОВЫЙ")</f>
        <v>БАЗОВЫЙ</v>
      </c>
      <c r="C171" s="4" t="str">
        <f ca="1">IFERROR(__xludf.DUMMYFUNCTION("""COMPUTED_VALUE"""),"RTL15A-1CUPP13")</f>
        <v>RTL15A-1CUPP13</v>
      </c>
      <c r="D171" s="4" t="str">
        <f ca="1">IFERROR(__xludf.DUMMYFUNCTION("""COMPUTED_VALUE"""),"Mobile SMARTS: Магазин 15, БАЗОВЫЙ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поступление, инве"&amp;"нтаризация,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1" s="4" t="str">
        <f ca="1">IFERROR(__xludf.DUMMYFUNCTION("""COMPUTED_VALUE"""),"Mobile SMARTS: Магазин 15, БАЗОВЫЙ для «1С: Управление производственным предприятием 1.3» (Обычные формы), для работы с товаром по штрихкодам ")</f>
        <v xml:space="preserve">Mobile SMARTS: Магазин 15, БАЗОВЫЙ для «1С: Управление производственным предприятием 1.3» (Обычные формы), для работы с товаром по штрихкодам </v>
      </c>
      <c r="F171" s="5">
        <f ca="1">IFERROR(__xludf.DUMMYFUNCTION("""COMPUTED_VALUE"""),8650)</f>
        <v>8650</v>
      </c>
    </row>
    <row r="172" spans="1:6" ht="86.25" customHeight="1" x14ac:dyDescent="0.2">
      <c r="A172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2" s="4" t="str">
        <f ca="1">IFERROR(__xludf.DUMMYFUNCTION("""COMPUTED_VALUE"""),"РАСШИРЕННЫЙ")</f>
        <v>РАСШИРЕННЫЙ</v>
      </c>
      <c r="C172" s="4" t="str">
        <f ca="1">IFERROR(__xludf.DUMMYFUNCTION("""COMPUTED_VALUE"""),"RTL15B-1CUPP13")</f>
        <v>RTL15B-1CUPP13</v>
      </c>
      <c r="D172" s="4" t="str">
        <f ca="1">IFERROR(__xludf.DUMMYFUNCTION("""COMPUTED_VALUE"""),"Mobile SMARTS: Магазин 15, РАСШИРЕННЫЙ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поступление, "&amp;"инвентаризация,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2" s="4" t="str">
        <f ca="1">IFERROR(__xludf.DUMMYFUNCTION("""COMPUTED_VALUE"""),"Mobile SMARTS: Магазин 15, РАСШИРЕННЫЙ для «1С: Управление производственным предприятием 1.3» (Обычные формы), для работы с товаром по штрихкодам ")</f>
        <v xml:space="preserve">Mobile SMARTS: Магазин 15, РАСШИРЕННЫЙ для «1С: Управление производственным предприятием 1.3» (Обычные формы), для работы с товаром по штрихкодам </v>
      </c>
      <c r="F172" s="5">
        <f ca="1">IFERROR(__xludf.DUMMYFUNCTION("""COMPUTED_VALUE"""),15050)</f>
        <v>15050</v>
      </c>
    </row>
    <row r="173" spans="1:6" ht="86.25" customHeight="1" x14ac:dyDescent="0.2">
      <c r="A173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3" s="4" t="str">
        <f ca="1">IFERROR(__xludf.DUMMYFUNCTION("""COMPUTED_VALUE"""),"МЕГАМАРКЕТ")</f>
        <v>МЕГАМАРКЕТ</v>
      </c>
      <c r="C173" s="4" t="str">
        <f ca="1">IFERROR(__xludf.DUMMYFUNCTION("""COMPUTED_VALUE"""),"RTL15C-1CUPP13")</f>
        <v>RTL15C-1CUPP13</v>
      </c>
      <c r="D173" s="4" t="str">
        <f ca="1">IFERROR(__xludf.DUMMYFUNCTION("""COMPUTED_VALUE"""),"Mobile SMARTS: Магазин 15, МЕГАМАРКЕТ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поступление, и"&amp;"нвентаризация,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контра"&amp;"гентах,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3" s="4" t="str">
        <f ca="1">IFERROR(__xludf.DUMMYFUNCTION("""COMPUTED_VALUE"""),"Mobile SMARTS: Магазин 15, МЕГАМАРКЕТ для «1С: Управление производственным предприятием 1.3» (Обычные формы), для работы с товаром по штрихкодам ")</f>
        <v xml:space="preserve">Mobile SMARTS: Магазин 15, МЕГАМАРКЕТ для «1С: Управление производственным предприятием 1.3» (Обычные формы), для работы с товаром по штрихкодам </v>
      </c>
      <c r="F173" s="5">
        <f ca="1">IFERROR(__xludf.DUMMYFUNCTION("""COMPUTED_VALUE"""),21550)</f>
        <v>21550</v>
      </c>
    </row>
    <row r="174" spans="1:6" ht="86.25" customHeight="1" x14ac:dyDescent="0.2">
      <c r="A174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4" s="4" t="str">
        <f ca="1">IFERROR(__xludf.DUMMYFUNCTION("""COMPUTED_VALUE"""),"с ЕГАИС, БАЗОВЫЙ")</f>
        <v>с ЕГАИС, БАЗОВЫЙ</v>
      </c>
      <c r="C174" s="4" t="str">
        <f ca="1">IFERROR(__xludf.DUMMYFUNCTION("""COMPUTED_VALUE"""),"RTL15AE-1CUPP13")</f>
        <v>RTL15AE-1CUPP13</v>
      </c>
      <c r="D174" s="4" t="str">
        <f ca="1">IFERROR(__xludf.DUMMYFUNCTION("""COMPUTED_VALUE"""),"Mobile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штрихк"&amp;"одам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ш"&amp;"трихкодов,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лицензия"&amp;" на 1 (одно) моб. устройство, подписка на обновления и обмен через Интернет на 1 (один) год")</f>
        <v>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74" s="4" t="str">
        <f ca="1">IFERROR(__xludf.DUMMYFUNCTION("""COMPUTED_VALUE"""),"Mobile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штрихк"&amp;"одам ")</f>
        <v xml:space="preserve">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74" s="5">
        <f ca="1">IFERROR(__xludf.DUMMYFUNCTION("""COMPUTED_VALUE"""),13000)</f>
        <v>13000</v>
      </c>
    </row>
    <row r="175" spans="1:6" ht="86.25" customHeight="1" x14ac:dyDescent="0.2">
      <c r="A175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5" s="4" t="str">
        <f ca="1">IFERROR(__xludf.DUMMYFUNCTION("""COMPUTED_VALUE"""),"с ЕГАИС, РАСШИРЕННЫЙ")</f>
        <v>с ЕГАИС, РАСШИРЕННЫЙ</v>
      </c>
      <c r="C175" s="4" t="str">
        <f ca="1">IFERROR(__xludf.DUMMYFUNCTION("""COMPUTED_VALUE"""),"RTL15BE-1CUPP13")</f>
        <v>RTL15BE-1CUPP13</v>
      </c>
      <c r="D175" s="4" t="str">
        <f ca="1">IFERROR(__xludf.DUMMYFUNCTION("""COMPUTED_VALUE"""),"Mobile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шт"&amp;"рихкодам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сб"&amp;"ор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(одн"&amp;"о) моб. устройство, подписка на обновления и обмен через Интернет на 1 (один) год")</f>
        <v>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5" s="4" t="str">
        <f ca="1">IFERROR(__xludf.DUMMYFUNCTION("""COMPUTED_VALUE"""),"Mobile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шт"&amp;"рихкодам ")</f>
        <v xml:space="preserve">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75" s="5">
        <f ca="1">IFERROR(__xludf.DUMMYFUNCTION("""COMPUTED_VALUE"""),19450)</f>
        <v>19450</v>
      </c>
    </row>
    <row r="176" spans="1:6" ht="86.25" customHeight="1" x14ac:dyDescent="0.2">
      <c r="A176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6" s="4" t="str">
        <f ca="1">IFERROR(__xludf.DUMMYFUNCTION("""COMPUTED_VALUE"""),"с ЕГАИС (без CheckMark2), МЕГАМАРКЕТ")</f>
        <v>с ЕГАИС (без CheckMark2), МЕГАМАРКЕТ</v>
      </c>
      <c r="C176" s="4" t="str">
        <f ca="1">IFERROR(__xludf.DUMMYFUNCTION("""COMPUTED_VALUE"""),"RTL15CEV-1CUPP13")</f>
        <v>RTL15CEV-1CUPP13</v>
      </c>
      <c r="D176" s="4" t="str">
        <f ca="1">IFERROR(__xludf.DUMMYFUNCTION("""COMPUTED_VALUE"""),"Mobile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ЕГАИ"&amp;"С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ин"&amp;"вентаризация,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"&amp;"добавлять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6" s="4" t="str">
        <f ca="1">IFERROR(__xludf.DUMMYFUNCTION("""COMPUTED_VALUE"""),"Mobile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ЕГАИ"&amp;"С и товары по штрихкодам ")</f>
        <v xml:space="preserve">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76" s="5">
        <f ca="1">IFERROR(__xludf.DUMMYFUNCTION("""COMPUTED_VALUE"""),25850)</f>
        <v>25850</v>
      </c>
    </row>
    <row r="177" spans="1:6" ht="86.25" customHeight="1" x14ac:dyDescent="0.2">
      <c r="A177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77" s="4" t="str">
        <f ca="1">IFERROR(__xludf.DUMMYFUNCTION("""COMPUTED_VALUE"""),"с МОТП, БАЗОВЫЙ")</f>
        <v>с МОТП, БАЗОВЫЙ</v>
      </c>
      <c r="C177" s="4" t="str">
        <f ca="1">IFERROR(__xludf.DUMMYFUNCTION("""COMPUTED_VALUE"""),"RTL15AT-1CUPP13")</f>
        <v>RTL15AT-1CUPP13</v>
      </c>
      <c r="D177" s="4" t="str">
        <f ca="1">IFERROR(__xludf.DUMMYFUNCTION("""COMPUTED_VALUE"""),"Mobile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нет онлайн"&amp;"а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7" s="4" t="str">
        <f ca="1">IFERROR(__xludf.DUMMYFUNCTION("""COMPUTED_VALUE"""),"Mobile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")</f>
        <v xml:space="preserve">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</v>
      </c>
      <c r="F177" s="5">
        <f ca="1">IFERROR(__xludf.DUMMYFUNCTION("""COMPUTED_VALUE"""),11150)</f>
        <v>11150</v>
      </c>
    </row>
    <row r="178" spans="1:6" ht="86.25" customHeight="1" x14ac:dyDescent="0.2">
      <c r="A178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78" s="4" t="str">
        <f ca="1">IFERROR(__xludf.DUMMYFUNCTION("""COMPUTED_VALUE"""),"с МОТП, РАСШИРЕННЫЙ")</f>
        <v>с МОТП, РАСШИРЕННЫЙ</v>
      </c>
      <c r="C178" s="4" t="str">
        <f ca="1">IFERROR(__xludf.DUMMYFUNCTION("""COMPUTED_VALUE"""),"RTL15BT-1CUPP13")</f>
        <v>RTL15BT-1CUPP13</v>
      </c>
      <c r="D178" s="4" t="str">
        <f ca="1">IFERROR(__xludf.DUMMYFUNCTION("""COMPUTED_VALUE"""),"Mobile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есть О"&amp;"НЛАЙН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пров"&amp;"ерка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ч"&amp;"ерез Интернет на 1 (один) год")</f>
        <v>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8" s="4" t="str">
        <f ca="1">IFERROR(__xludf.DUMMYFUNCTION("""COMPUTED_VALUE"""),"Mobile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")</f>
        <v xml:space="preserve">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</v>
      </c>
      <c r="F178" s="5">
        <f ca="1">IFERROR(__xludf.DUMMYFUNCTION("""COMPUTED_VALUE"""),17450)</f>
        <v>17450</v>
      </c>
    </row>
    <row r="179" spans="1:6" ht="86.25" customHeight="1" x14ac:dyDescent="0.2">
      <c r="A179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79" s="4" t="str">
        <f ca="1">IFERROR(__xludf.DUMMYFUNCTION("""COMPUTED_VALUE"""),"с МОТП, МЕГАМАРКЕТ")</f>
        <v>с МОТП, МЕГАМАРКЕТ</v>
      </c>
      <c r="C179" s="4" t="str">
        <f ca="1">IFERROR(__xludf.DUMMYFUNCTION("""COMPUTED_VALUE"""),"RTL15CT-1CUPP13")</f>
        <v>RTL15CT-1CUPP13</v>
      </c>
      <c r="D179" s="4" t="str">
        <f ca="1">IFERROR(__xludf.DUMMYFUNCTION("""COMPUTED_VALUE"""),"Mobile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есть ОН"&amp;"ЛАЙН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прове"&amp;"рка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"&amp;"обновления и обмен через Интернет на 1 (один) год")</f>
        <v>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9" s="4" t="str">
        <f ca="1">IFERROR(__xludf.DUMMYFUNCTION("""COMPUTED_VALUE"""),"Mobile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")</f>
        <v xml:space="preserve">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</v>
      </c>
      <c r="F179" s="5">
        <f ca="1">IFERROR(__xludf.DUMMYFUNCTION("""COMPUTED_VALUE"""),23850)</f>
        <v>23850</v>
      </c>
    </row>
    <row r="180" spans="1:6" ht="86.25" customHeight="1" x14ac:dyDescent="0.2">
      <c r="A180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0" s="4" t="str">
        <f ca="1">IFERROR(__xludf.DUMMYFUNCTION("""COMPUTED_VALUE"""),"с ЕГАИС и МОТП, БАЗОВЫЙ")</f>
        <v>с ЕГАИС и МОТП, БАЗОВЫЙ</v>
      </c>
      <c r="C180" s="4" t="str">
        <f ca="1">IFERROR(__xludf.DUMMYFUNCTION("""COMPUTED_VALUE"""),"RTL15AET-1CUPP13")</f>
        <v>RTL15AET-1CUPP13</v>
      </c>
      <c r="D180" s="4" t="str">
        <f ca="1">IFERROR(__xludf.DUMMYFUNCTION("""COMPUTED_VALUE"""),"Mobile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Инт"&amp;"ернет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о"&amp;"тгрузка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0" s="4" t="str">
        <f ca="1">IFERROR(__xludf.DUMMYFUNCTION("""COMPUTED_VALUE"""),"Mobile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")</f>
        <v xml:space="preserve">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</v>
      </c>
      <c r="F180" s="5">
        <f ca="1">IFERROR(__xludf.DUMMYFUNCTION("""COMPUTED_VALUE"""),12150)</f>
        <v>12150</v>
      </c>
    </row>
    <row r="181" spans="1:6" ht="86.25" customHeight="1" x14ac:dyDescent="0.2">
      <c r="A181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1" s="4" t="str">
        <f ca="1">IFERROR(__xludf.DUMMYFUNCTION("""COMPUTED_VALUE"""),"с ЕГАИС и МОТП, РАСШИРЕННЫЙ")</f>
        <v>с ЕГАИС и МОТП, РАСШИРЕННЫЙ</v>
      </c>
      <c r="C181" s="4" t="str">
        <f ca="1">IFERROR(__xludf.DUMMYFUNCTION("""COMPUTED_VALUE"""),"RTL15BET-1CUPP13")</f>
        <v>RTL15BET-1CUPP13</v>
      </c>
      <c r="D181" s="4" t="str">
        <f ca="1">IFERROR(__xludf.DUMMYFUNCTION("""COMPUTED_VALUE"""),"Mobile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через"&amp;"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т."&amp;"ч.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1" s="4" t="str">
        <f ca="1">IFERROR(__xludf.DUMMYFUNCTION("""COMPUTED_VALUE"""),"Mobile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")</f>
        <v xml:space="preserve">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</v>
      </c>
      <c r="F181" s="5">
        <f ca="1">IFERROR(__xludf.DUMMYFUNCTION("""COMPUTED_VALUE"""),18550)</f>
        <v>18550</v>
      </c>
    </row>
    <row r="182" spans="1:6" ht="86.25" customHeight="1" x14ac:dyDescent="0.2">
      <c r="A182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2" s="4" t="str">
        <f ca="1">IFERROR(__xludf.DUMMYFUNCTION("""COMPUTED_VALUE"""),"с ЕГАИС и МОТП, МЕГАМАРКЕТ")</f>
        <v>с ЕГАИС и МОТП, МЕГАМАРКЕТ</v>
      </c>
      <c r="C182" s="4" t="str">
        <f ca="1">IFERROR(__xludf.DUMMYFUNCTION("""COMPUTED_VALUE"""),"RTL15CET-1CUPP13")</f>
        <v>RTL15CET-1CUPP13</v>
      </c>
      <c r="D182" s="4" t="str">
        <f ca="1">IFERROR(__xludf.DUMMYFUNCTION("""COMPUTED_VALUE"""),"Mobile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"&amp;"Интернет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т.ч"&amp;".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ост"&amp;"атках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2" s="4" t="str">
        <f ca="1">IFERROR(__xludf.DUMMYFUNCTION("""COMPUTED_VALUE"""),"Mobile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")</f>
        <v xml:space="preserve">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</v>
      </c>
      <c r="F182" s="5">
        <f ca="1">IFERROR(__xludf.DUMMYFUNCTION("""COMPUTED_VALUE"""),26350)</f>
        <v>26350</v>
      </c>
    </row>
    <row r="183" spans="1:6" ht="86.25" customHeight="1" x14ac:dyDescent="0.2">
      <c r="A183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3" s="4" t="str">
        <f ca="1">IFERROR(__xludf.DUMMYFUNCTION("""COMPUTED_VALUE"""),"ШМОТКИ, БАЗОВЫЙ")</f>
        <v>ШМОТКИ, БАЗОВЫЙ</v>
      </c>
      <c r="C183" s="4" t="str">
        <f ca="1">IFERROR(__xludf.DUMMYFUNCTION("""COMPUTED_VALUE"""),"RTL15AK-1CUPP13")</f>
        <v>RTL15AK-1CUPP13</v>
      </c>
      <c r="D183" s="4" t="str">
        <f ca="1">IFERROR(__xludf.DUMMYFUNCTION("""COMPUTED_VALUE"""),"Mobile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через"&amp;"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справочнико"&amp;"в,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3" s="4" t="str">
        <f ca="1">IFERROR(__xludf.DUMMYFUNCTION("""COMPUTED_VALUE"""),"Mobile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")</f>
        <v xml:space="preserve">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</v>
      </c>
      <c r="F183" s="5">
        <f ca="1">IFERROR(__xludf.DUMMYFUNCTION("""COMPUTED_VALUE"""),12150)</f>
        <v>12150</v>
      </c>
    </row>
    <row r="184" spans="1:6" ht="86.25" customHeight="1" x14ac:dyDescent="0.2">
      <c r="A184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4" s="4" t="str">
        <f ca="1">IFERROR(__xludf.DUMMYFUNCTION("""COMPUTED_VALUE"""),"ШМОТКИ, РАСШИРЕННЫЙ")</f>
        <v>ШМОТКИ, РАСШИРЕННЫЙ</v>
      </c>
      <c r="C184" s="4" t="str">
        <f ca="1">IFERROR(__xludf.DUMMYFUNCTION("""COMPUTED_VALUE"""),"RTL15BK-1CUPP13")</f>
        <v>RTL15BK-1CUPP13</v>
      </c>
      <c r="D184" s="4" t="str">
        <f ca="1">IFERROR(__xludf.DUMMYFUNCTION("""COMPUTED_VALUE"""),"Mobile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ч"&amp;"ерез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справоч"&amp;"ников,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н"&amp;"а обновления и обмен через Интернет на 1 (один) год")</f>
        <v>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4" s="4" t="str">
        <f ca="1">IFERROR(__xludf.DUMMYFUNCTION("""COMPUTED_VALUE"""),"Mobile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</v>
      </c>
      <c r="F184" s="5">
        <f ca="1">IFERROR(__xludf.DUMMYFUNCTION("""COMPUTED_VALUE"""),18550)</f>
        <v>18550</v>
      </c>
    </row>
    <row r="185" spans="1:6" ht="86.25" customHeight="1" x14ac:dyDescent="0.2">
      <c r="A185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5" s="4" t="str">
        <f ca="1">IFERROR(__xludf.DUMMYFUNCTION("""COMPUTED_VALUE"""),"ШМОТКИ, МЕГАМАРКЕТ")</f>
        <v>ШМОТКИ, МЕГАМАРКЕТ</v>
      </c>
      <c r="C185" s="4" t="str">
        <f ca="1">IFERROR(__xludf.DUMMYFUNCTION("""COMPUTED_VALUE"""),"RTL15CK-1CUPP13")</f>
        <v>RTL15CK-1CUPP13</v>
      </c>
      <c r="D185" s="4" t="str">
        <f ca="1">IFERROR(__xludf.DUMMYFUNCTION("""COMPUTED_VALUE"""),"Mobile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че"&amp;"рез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справочн"&amp;"иков,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ус"&amp;"тройство, подписка на обновления и обмен через Интернет на 1 (один) год")</f>
        <v>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5" s="4" t="str">
        <f ca="1">IFERROR(__xludf.DUMMYFUNCTION("""COMPUTED_VALUE"""),"Mobile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</v>
      </c>
      <c r="F185" s="5">
        <f ca="1">IFERROR(__xludf.DUMMYFUNCTION("""COMPUTED_VALUE"""),26350)</f>
        <v>26350</v>
      </c>
    </row>
    <row r="186" spans="1:6" ht="86.25" customHeight="1" x14ac:dyDescent="0.2">
      <c r="A186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6" s="4" t="str">
        <f ca="1">IFERROR(__xludf.DUMMYFUNCTION("""COMPUTED_VALUE"""),"ПРОДУКТОВЫЙ, БАЗОВЫЙ")</f>
        <v>ПРОДУКТОВЫЙ, БАЗОВЫЙ</v>
      </c>
      <c r="C186" s="4" t="str">
        <f ca="1">IFERROR(__xludf.DUMMYFUNCTION("""COMPUTED_VALUE"""),"RTL15AG-1CUPP13")</f>
        <v>RTL15AG-1CUPP13</v>
      </c>
      <c r="D186" s="4" t="str">
        <f ca="1">IFERROR(__xludf.DUMMYFUNCTION("""COMPUTED_VALUE"""),"Mobile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выбо"&amp;"р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6" s="4" t="str">
        <f ca="1">IFERROR(__xludf.DUMMYFUNCTION("""COMPUTED_VALUE"""),"Mobile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</v>
      </c>
      <c r="F186" s="5">
        <f ca="1">IFERROR(__xludf.DUMMYFUNCTION("""COMPUTED_VALUE"""),14550)</f>
        <v>14550</v>
      </c>
    </row>
    <row r="187" spans="1:6" ht="86.25" customHeight="1" x14ac:dyDescent="0.2">
      <c r="A187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7" s="4" t="str">
        <f ca="1">IFERROR(__xludf.DUMMYFUNCTION("""COMPUTED_VALUE"""),"ПРОДУКТОВЫЙ, РАСШИРЕННЫЙ")</f>
        <v>ПРОДУКТОВЫЙ, РАСШИРЕННЫЙ</v>
      </c>
      <c r="C187" s="4" t="str">
        <f ca="1">IFERROR(__xludf.DUMMYFUNCTION("""COMPUTED_VALUE"""),"RTL15BG-1CUPP13")</f>
        <v>RTL15BG-1CUPP13</v>
      </c>
      <c r="D187" s="4" t="str">
        <f ca="1">IFERROR(__xludf.DUMMYFUNCTION("""COMPUTED_VALUE"""),"Mobile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"&amp;"выбор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при"&amp;"нтер),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с"&amp;"кладах,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7" s="4" t="str">
        <f ca="1">IFERROR(__xludf.DUMMYFUNCTION("""COMPUTED_VALUE"""),"Mobile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</v>
      </c>
      <c r="F187" s="5">
        <f ca="1">IFERROR(__xludf.DUMMYFUNCTION("""COMPUTED_VALUE"""),20950)</f>
        <v>20950</v>
      </c>
    </row>
    <row r="188" spans="1:6" ht="86.25" customHeight="1" x14ac:dyDescent="0.2">
      <c r="A188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8" s="4" t="str">
        <f ca="1">IFERROR(__xludf.DUMMYFUNCTION("""COMPUTED_VALUE"""),"ПРОДУКТОВЫЙ, МЕГАМАРКЕТ")</f>
        <v>ПРОДУКТОВЫЙ, МЕГАМАРКЕТ</v>
      </c>
      <c r="C188" s="4" t="str">
        <f ca="1">IFERROR(__xludf.DUMMYFUNCTION("""COMPUTED_VALUE"""),"RTL15CG-1CUPP13")</f>
        <v>RTL15CG-1CUPP13</v>
      </c>
      <c r="D188" s="4" t="str">
        <f ca="1">IFERROR(__xludf.DUMMYFUNCTION("""COMPUTED_VALUE"""),"Mobile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в"&amp;"ыбор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прин"&amp;"тер),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8" s="4" t="str">
        <f ca="1">IFERROR(__xludf.DUMMYFUNCTION("""COMPUTED_VALUE"""),"Mobile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</v>
      </c>
      <c r="F188" s="5">
        <f ca="1">IFERROR(__xludf.DUMMYFUNCTION("""COMPUTED_VALUE"""),28250)</f>
        <v>28250</v>
      </c>
    </row>
    <row r="189" spans="1:6" ht="86.25" customHeight="1" x14ac:dyDescent="0.2">
      <c r="A189" s="4" t="str">
        <f ca="1">IFERROR(__xludf.DUMMYFUNCTION("""COMPUTED_VALUE"""),"«1С: Управление торговлей 11.0»")</f>
        <v>«1С: Управление торговлей 11.0»</v>
      </c>
      <c r="B189" s="4" t="str">
        <f ca="1">IFERROR(__xludf.DUMMYFUNCTION("""COMPUTED_VALUE"""),"МИНИМУМ")</f>
        <v>МИНИМУМ</v>
      </c>
      <c r="C189" s="4" t="str">
        <f ca="1">IFERROR(__xludf.DUMMYFUNCTION("""COMPUTED_VALUE"""),"RTL15M-1CUT110")</f>
        <v>RTL15M-1CUT110</v>
      </c>
      <c r="D189" s="4" t="str">
        <f ca="1">IFERROR(__xludf.DUMMYFUNCTION("""COMPUTED_VALUE"""),"Mobile SMARTS: Магазин 15, МИНИМУМ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н"&amp;"астройка,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"&amp;"год")</f>
        <v>Mobile SMARTS: Магазин 15, МИНИМУМ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89" s="4" t="str">
        <f ca="1">IFERROR(__xludf.DUMMYFUNCTION("""COMPUTED_VALUE"""),"Mobile SMARTS: Магазин 15, МИНИМУМ для «1С: Управление торговлей 11.0», для работы с товаром по штрихкодам ")</f>
        <v xml:space="preserve">Mobile SMARTS: Магазин 15, МИНИМУМ для «1С: Управление торговлей 11.0», для работы с товаром по штрихкодам </v>
      </c>
      <c r="F189" s="5">
        <f ca="1">IFERROR(__xludf.DUMMYFUNCTION("""COMPUTED_VALUE"""),3450)</f>
        <v>3450</v>
      </c>
    </row>
    <row r="190" spans="1:6" ht="86.25" customHeight="1" x14ac:dyDescent="0.2">
      <c r="A190" s="4" t="str">
        <f ca="1">IFERROR(__xludf.DUMMYFUNCTION("""COMPUTED_VALUE"""),"«1С: Управление торговлей 11.0»")</f>
        <v>«1С: Управление торговлей 11.0»</v>
      </c>
      <c r="B190" s="4" t="str">
        <f ca="1">IFERROR(__xludf.DUMMYFUNCTION("""COMPUTED_VALUE"""),"БАЗОВЫЙ")</f>
        <v>БАЗОВЫЙ</v>
      </c>
      <c r="C190" s="4" t="str">
        <f ca="1">IFERROR(__xludf.DUMMYFUNCTION("""COMPUTED_VALUE"""),"RTL15A-1CUT110")</f>
        <v>RTL15A-1CUT110</v>
      </c>
      <c r="D190" s="4" t="str">
        <f ca="1">IFERROR(__xludf.DUMMYFUNCTION("""COMPUTED_VALUE"""),"Mobile SMARTS: Магазин 15, БАЗОВЫЙ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0" s="4" t="str">
        <f ca="1">IFERROR(__xludf.DUMMYFUNCTION("""COMPUTED_VALUE"""),"Mobile SMARTS: Магазин 15, БАЗОВЫЙ для «1С: Управление торговлей 11.0», для работы с товаром по штрихкодам ")</f>
        <v xml:space="preserve">Mobile SMARTS: Магазин 15, БАЗОВЫЙ для «1С: Управление торговлей 11.0», для работы с товаром по штрихкодам </v>
      </c>
      <c r="F190" s="5">
        <f ca="1">IFERROR(__xludf.DUMMYFUNCTION("""COMPUTED_VALUE"""),8650)</f>
        <v>8650</v>
      </c>
    </row>
    <row r="191" spans="1:6" ht="86.25" customHeight="1" x14ac:dyDescent="0.2">
      <c r="A191" s="4" t="str">
        <f ca="1">IFERROR(__xludf.DUMMYFUNCTION("""COMPUTED_VALUE"""),"«1С: Управление торговлей 11.0»")</f>
        <v>«1С: Управление торговлей 11.0»</v>
      </c>
      <c r="B191" s="4" t="str">
        <f ca="1">IFERROR(__xludf.DUMMYFUNCTION("""COMPUTED_VALUE"""),"РАСШИРЕННЫЙ")</f>
        <v>РАСШИРЕННЫЙ</v>
      </c>
      <c r="C191" s="4" t="str">
        <f ca="1">IFERROR(__xludf.DUMMYFUNCTION("""COMPUTED_VALUE"""),"RTL15B-1CUT110")</f>
        <v>RTL15B-1CUT110</v>
      </c>
      <c r="D191" s="4" t="str">
        <f ca="1">IFERROR(__xludf.DUMMYFUNCTION("""COMPUTED_VALUE"""),"Mobile SMARTS: Магазин 15, РАСШИРЕННЫЙ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1" s="4" t="str">
        <f ca="1">IFERROR(__xludf.DUMMYFUNCTION("""COMPUTED_VALUE"""),"Mobile SMARTS: Магазин 15, РАСШИРЕННЫЙ для «1С: Управление торговлей 11.0», для работы с товаром по штрихкодам ")</f>
        <v xml:space="preserve">Mobile SMARTS: Магазин 15, РАСШИРЕННЫЙ для «1С: Управление торговлей 11.0», для работы с товаром по штрихкодам </v>
      </c>
      <c r="F191" s="5">
        <f ca="1">IFERROR(__xludf.DUMMYFUNCTION("""COMPUTED_VALUE"""),15050)</f>
        <v>15050</v>
      </c>
    </row>
    <row r="192" spans="1:6" ht="86.25" customHeight="1" x14ac:dyDescent="0.2">
      <c r="A192" s="4" t="str">
        <f ca="1">IFERROR(__xludf.DUMMYFUNCTION("""COMPUTED_VALUE"""),"«1С: Управление торговлей 11.0»")</f>
        <v>«1С: Управление торговлей 11.0»</v>
      </c>
      <c r="B192" s="4" t="str">
        <f ca="1">IFERROR(__xludf.DUMMYFUNCTION("""COMPUTED_VALUE"""),"МЕГАМАРКЕТ")</f>
        <v>МЕГАМАРКЕТ</v>
      </c>
      <c r="C192" s="4" t="str">
        <f ca="1">IFERROR(__xludf.DUMMYFUNCTION("""COMPUTED_VALUE"""),"RTL15C-1CUT110")</f>
        <v>RTL15C-1CUT110</v>
      </c>
      <c r="D192" s="4" t="str">
        <f ca="1">IFERROR(__xludf.DUMMYFUNCTION("""COMPUTED_VALUE"""),"Mobile SMARTS: Магазин 15, МЕГАМАРКЕТ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2" s="4" t="str">
        <f ca="1">IFERROR(__xludf.DUMMYFUNCTION("""COMPUTED_VALUE"""),"Mobile SMARTS: Магазин 15, МЕГАМАРКЕТ для «1С: Управление торговлей 11.0», для работы с товаром по штрихкодам ")</f>
        <v xml:space="preserve">Mobile SMARTS: Магазин 15, МЕГАМАРКЕТ для «1С: Управление торговлей 11.0», для работы с товаром по штрихкодам </v>
      </c>
      <c r="F192" s="5">
        <f ca="1">IFERROR(__xludf.DUMMYFUNCTION("""COMPUTED_VALUE"""),21550)</f>
        <v>21550</v>
      </c>
    </row>
    <row r="193" spans="1:6" ht="86.25" customHeight="1" x14ac:dyDescent="0.2">
      <c r="A193" s="4" t="str">
        <f ca="1">IFERROR(__xludf.DUMMYFUNCTION("""COMPUTED_VALUE"""),"«1С: Управление торговлей 11.0»")</f>
        <v>«1С: Управление торговлей 11.0»</v>
      </c>
      <c r="B193" s="4" t="str">
        <f ca="1">IFERROR(__xludf.DUMMYFUNCTION("""COMPUTED_VALUE"""),"с ЕГАИС, БАЗОВЫЙ")</f>
        <v>с ЕГАИС, БАЗОВЫЙ</v>
      </c>
      <c r="C193" s="4" t="str">
        <f ca="1">IFERROR(__xludf.DUMMYFUNCTION("""COMPUTED_VALUE"""),"RTL15AE-1CUT110")</f>
        <v>RTL15AE-1CUT110</v>
      </c>
      <c r="D193" s="4" t="str">
        <f ca="1">IFERROR(__xludf.DUMMYFUNCTION("""COMPUTED_VALUE"""),"Mobile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беспрово"&amp;"дной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п"&amp;"роверка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подпи"&amp;"ска на обновления и обмен через Интернет на 1 (один) год")</f>
        <v>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93" s="4" t="str">
        <f ca="1">IFERROR(__xludf.DUMMYFUNCTION("""COMPUTED_VALUE"""),"Mobile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93" s="5">
        <f ca="1">IFERROR(__xludf.DUMMYFUNCTION("""COMPUTED_VALUE"""),13000)</f>
        <v>13000</v>
      </c>
    </row>
    <row r="194" spans="1:6" ht="86.25" customHeight="1" x14ac:dyDescent="0.2">
      <c r="A194" s="4" t="str">
        <f ca="1">IFERROR(__xludf.DUMMYFUNCTION("""COMPUTED_VALUE"""),"«1С: Управление торговлей 11.0»")</f>
        <v>«1С: Управление торговлей 11.0»</v>
      </c>
      <c r="B194" s="4" t="str">
        <f ca="1">IFERROR(__xludf.DUMMYFUNCTION("""COMPUTED_VALUE"""),"с ЕГАИС, РАСШИРЕННЫЙ")</f>
        <v>с ЕГАИС, РАСШИРЕННЫЙ</v>
      </c>
      <c r="C194" s="4" t="str">
        <f ca="1">IFERROR(__xludf.DUMMYFUNCTION("""COMPUTED_VALUE"""),"RTL15BE-1CUT110")</f>
        <v>RTL15BE-1CUT110</v>
      </c>
      <c r="D194" s="4" t="str">
        <f ca="1">IFERROR(__xludf.DUMMYFUNCTION("""COMPUTED_VALUE"""),"Mobile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бесп"&amp;"роводной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справочнико"&amp;"в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4" s="4" t="str">
        <f ca="1">IFERROR(__xludf.DUMMYFUNCTION("""COMPUTED_VALUE"""),"Mobile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94" s="5">
        <f ca="1">IFERROR(__xludf.DUMMYFUNCTION("""COMPUTED_VALUE"""),19450)</f>
        <v>19450</v>
      </c>
    </row>
    <row r="195" spans="1:6" ht="86.25" customHeight="1" x14ac:dyDescent="0.2">
      <c r="A195" s="4" t="str">
        <f ca="1">IFERROR(__xludf.DUMMYFUNCTION("""COMPUTED_VALUE"""),"«1С: Управление торговлей 11.0»")</f>
        <v>«1С: Управление торговлей 11.0»</v>
      </c>
      <c r="B195" s="4" t="str">
        <f ca="1">IFERROR(__xludf.DUMMYFUNCTION("""COMPUTED_VALUE"""),"с ЕГАИС (без CheckMark2), МЕГАМАРКЕТ")</f>
        <v>с ЕГАИС (без CheckMark2), МЕГАМАРКЕТ</v>
      </c>
      <c r="C195" s="4" t="str">
        <f ca="1">IFERROR(__xludf.DUMMYFUNCTION("""COMPUTED_VALUE"""),"RTL15CEV-1CUT110")</f>
        <v>RTL15CEV-1CUT110</v>
      </c>
      <c r="D195" s="4" t="str">
        <f ca="1">IFERROR(__xludf.DUMMYFUNCTION("""COMPUTED_VALUE"""),"Mobile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выбор"&amp;"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прос"&amp;"мотр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бессрочна"&amp;"я лицензия на 1 (одно) моб. устройство, подписка на обновления и обмен через Интернет на 1 (один) год")</f>
        <v>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5" s="4" t="str">
        <f ca="1">IFERROR(__xludf.DUMMYFUNCTION("""COMPUTED_VALUE"""),"Mobile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95" s="5">
        <f ca="1">IFERROR(__xludf.DUMMYFUNCTION("""COMPUTED_VALUE"""),25850)</f>
        <v>25850</v>
      </c>
    </row>
    <row r="196" spans="1:6" ht="86.25" customHeight="1" x14ac:dyDescent="0.2">
      <c r="A196" s="4" t="str">
        <f ca="1">IFERROR(__xludf.DUMMYFUNCTION("""COMPUTED_VALUE"""),"«1С: Управление торговлей 11.1»")</f>
        <v>«1С: Управление торговлей 11.1»</v>
      </c>
      <c r="B196" s="4" t="str">
        <f ca="1">IFERROR(__xludf.DUMMYFUNCTION("""COMPUTED_VALUE"""),"МИНИМУМ")</f>
        <v>МИНИМУМ</v>
      </c>
      <c r="C196" s="4" t="str">
        <f ca="1">IFERROR(__xludf.DUMMYFUNCTION("""COMPUTED_VALUE"""),"RTL15M-1CUT111")</f>
        <v>RTL15M-1CUT111</v>
      </c>
      <c r="D196" s="4" t="str">
        <f ca="1">IFERROR(__xludf.DUMMYFUNCTION("""COMPUTED_VALUE"""),"Mobile SMARTS: Магазин 15, МИНИМУМ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н"&amp;"астройка,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"&amp;"год")</f>
        <v>Mobile SMARTS: Магазин 15, МИНИМУМ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96" s="4" t="str">
        <f ca="1">IFERROR(__xludf.DUMMYFUNCTION("""COMPUTED_VALUE"""),"Mobile SMARTS: Магазин 15, МИНИМУМ для «1С: Управление торговлей 11.1», для работы с товаром по штрихкодам ")</f>
        <v xml:space="preserve">Mobile SMARTS: Магазин 15, МИНИМУМ для «1С: Управление торговлей 11.1», для работы с товаром по штрихкодам </v>
      </c>
      <c r="F196" s="5">
        <f ca="1">IFERROR(__xludf.DUMMYFUNCTION("""COMPUTED_VALUE"""),3450)</f>
        <v>3450</v>
      </c>
    </row>
    <row r="197" spans="1:6" ht="86.25" customHeight="1" x14ac:dyDescent="0.2">
      <c r="A197" s="4" t="str">
        <f ca="1">IFERROR(__xludf.DUMMYFUNCTION("""COMPUTED_VALUE"""),"«1С: Управление торговлей 11.1»")</f>
        <v>«1С: Управление торговлей 11.1»</v>
      </c>
      <c r="B197" s="4" t="str">
        <f ca="1">IFERROR(__xludf.DUMMYFUNCTION("""COMPUTED_VALUE"""),"БАЗОВЫЙ")</f>
        <v>БАЗОВЫЙ</v>
      </c>
      <c r="C197" s="4" t="str">
        <f ca="1">IFERROR(__xludf.DUMMYFUNCTION("""COMPUTED_VALUE"""),"RTL15A-1CUT111")</f>
        <v>RTL15A-1CUT111</v>
      </c>
      <c r="D197" s="4" t="str">
        <f ca="1">IFERROR(__xludf.DUMMYFUNCTION("""COMPUTED_VALUE"""),"Mobile SMARTS: Магазин 15, БАЗОВЫЙ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7" s="4" t="str">
        <f ca="1">IFERROR(__xludf.DUMMYFUNCTION("""COMPUTED_VALUE"""),"Mobile SMARTS: Магазин 15, БАЗОВЫЙ для «1С: Управление торговлей 11.1», для работы с товаром по штрихкодам ")</f>
        <v xml:space="preserve">Mobile SMARTS: Магазин 15, БАЗОВЫЙ для «1С: Управление торговлей 11.1», для работы с товаром по штрихкодам </v>
      </c>
      <c r="F197" s="5">
        <f ca="1">IFERROR(__xludf.DUMMYFUNCTION("""COMPUTED_VALUE"""),8650)</f>
        <v>8650</v>
      </c>
    </row>
    <row r="198" spans="1:6" ht="86.25" customHeight="1" x14ac:dyDescent="0.2">
      <c r="A198" s="4" t="str">
        <f ca="1">IFERROR(__xludf.DUMMYFUNCTION("""COMPUTED_VALUE"""),"«1С: Управление торговлей 11.1»")</f>
        <v>«1С: Управление торговлей 11.1»</v>
      </c>
      <c r="B198" s="4" t="str">
        <f ca="1">IFERROR(__xludf.DUMMYFUNCTION("""COMPUTED_VALUE"""),"РАСШИРЕННЫЙ")</f>
        <v>РАСШИРЕННЫЙ</v>
      </c>
      <c r="C198" s="4" t="str">
        <f ca="1">IFERROR(__xludf.DUMMYFUNCTION("""COMPUTED_VALUE"""),"RTL15B-1CUT111")</f>
        <v>RTL15B-1CUT111</v>
      </c>
      <c r="D198" s="4" t="str">
        <f ca="1">IFERROR(__xludf.DUMMYFUNCTION("""COMPUTED_VALUE"""),"Mobile SMARTS: Магазин 15, РАСШИРЕННЫЙ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8" s="4" t="str">
        <f ca="1">IFERROR(__xludf.DUMMYFUNCTION("""COMPUTED_VALUE"""),"Mobile SMARTS: Магазин 15, РАСШИРЕННЫЙ для «1С: Управление торговлей 11.1», для работы с товаром по штрихкодам ")</f>
        <v xml:space="preserve">Mobile SMARTS: Магазин 15, РАСШИРЕННЫЙ для «1С: Управление торговлей 11.1», для работы с товаром по штрихкодам </v>
      </c>
      <c r="F198" s="5">
        <f ca="1">IFERROR(__xludf.DUMMYFUNCTION("""COMPUTED_VALUE"""),15050)</f>
        <v>15050</v>
      </c>
    </row>
    <row r="199" spans="1:6" ht="86.25" customHeight="1" x14ac:dyDescent="0.2">
      <c r="A199" s="4" t="str">
        <f ca="1">IFERROR(__xludf.DUMMYFUNCTION("""COMPUTED_VALUE"""),"«1С: Управление торговлей 11.1»")</f>
        <v>«1С: Управление торговлей 11.1»</v>
      </c>
      <c r="B199" s="4" t="str">
        <f ca="1">IFERROR(__xludf.DUMMYFUNCTION("""COMPUTED_VALUE"""),"МЕГАМАРКЕТ")</f>
        <v>МЕГАМАРКЕТ</v>
      </c>
      <c r="C199" s="4" t="str">
        <f ca="1">IFERROR(__xludf.DUMMYFUNCTION("""COMPUTED_VALUE"""),"RTL15C-1CUT111")</f>
        <v>RTL15C-1CUT111</v>
      </c>
      <c r="D199" s="4" t="str">
        <f ca="1">IFERROR(__xludf.DUMMYFUNCTION("""COMPUTED_VALUE"""),"Mobile SMARTS: Магазин 15, МЕГАМАРКЕТ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9" s="4" t="str">
        <f ca="1">IFERROR(__xludf.DUMMYFUNCTION("""COMPUTED_VALUE"""),"Mobile SMARTS: Магазин 15, МЕГАМАРКЕТ для «1С: Управление торговлей 11.1», для работы с товаром по штрихкодам ")</f>
        <v xml:space="preserve">Mobile SMARTS: Магазин 15, МЕГАМАРКЕТ для «1С: Управление торговлей 11.1», для работы с товаром по штрихкодам </v>
      </c>
      <c r="F199" s="5">
        <f ca="1">IFERROR(__xludf.DUMMYFUNCTION("""COMPUTED_VALUE"""),21550)</f>
        <v>21550</v>
      </c>
    </row>
    <row r="200" spans="1:6" ht="86.25" customHeight="1" x14ac:dyDescent="0.2">
      <c r="A200" s="4" t="str">
        <f ca="1">IFERROR(__xludf.DUMMYFUNCTION("""COMPUTED_VALUE"""),"«1С: Управление торговлей 11.1»")</f>
        <v>«1С: Управление торговлей 11.1»</v>
      </c>
      <c r="B200" s="4" t="str">
        <f ca="1">IFERROR(__xludf.DUMMYFUNCTION("""COMPUTED_VALUE"""),"с ЕГАИС, БАЗОВЫЙ")</f>
        <v>с ЕГАИС, БАЗОВЫЙ</v>
      </c>
      <c r="C200" s="4" t="str">
        <f ca="1">IFERROR(__xludf.DUMMYFUNCTION("""COMPUTED_VALUE"""),"RTL15AE-1CUT111")</f>
        <v>RTL15AE-1CUT111</v>
      </c>
      <c r="D200" s="4" t="str">
        <f ca="1">IFERROR(__xludf.DUMMYFUNCTION("""COMPUTED_VALUE"""),"Mobile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беспрово"&amp;"дной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п"&amp;"роверка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подпи"&amp;"ска на обновления и обмен через Интернет на 1 (один) год")</f>
        <v>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00" s="4" t="str">
        <f ca="1">IFERROR(__xludf.DUMMYFUNCTION("""COMPUTED_VALUE"""),"Mobile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200" s="5">
        <f ca="1">IFERROR(__xludf.DUMMYFUNCTION("""COMPUTED_VALUE"""),13000)</f>
        <v>13000</v>
      </c>
    </row>
    <row r="201" spans="1:6" ht="86.25" customHeight="1" x14ac:dyDescent="0.2">
      <c r="A201" s="4" t="str">
        <f ca="1">IFERROR(__xludf.DUMMYFUNCTION("""COMPUTED_VALUE"""),"«1С: Управление торговлей 11.1»")</f>
        <v>«1С: Управление торговлей 11.1»</v>
      </c>
      <c r="B201" s="4" t="str">
        <f ca="1">IFERROR(__xludf.DUMMYFUNCTION("""COMPUTED_VALUE"""),"с ЕГАИС, РАСШИРЕННЫЙ")</f>
        <v>с ЕГАИС, РАСШИРЕННЫЙ</v>
      </c>
      <c r="C201" s="4" t="str">
        <f ca="1">IFERROR(__xludf.DUMMYFUNCTION("""COMPUTED_VALUE"""),"RTL15BE-1CUT111")</f>
        <v>RTL15BE-1CUT111</v>
      </c>
      <c r="D201" s="4" t="str">
        <f ca="1">IFERROR(__xludf.DUMMYFUNCTION("""COMPUTED_VALUE"""),"Mobile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бесп"&amp;"роводной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справочнико"&amp;"в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1" s="4" t="str">
        <f ca="1">IFERROR(__xludf.DUMMYFUNCTION("""COMPUTED_VALUE"""),"Mobile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201" s="5">
        <f ca="1">IFERROR(__xludf.DUMMYFUNCTION("""COMPUTED_VALUE"""),19450)</f>
        <v>19450</v>
      </c>
    </row>
    <row r="202" spans="1:6" ht="86.25" customHeight="1" x14ac:dyDescent="0.2">
      <c r="A202" s="4" t="str">
        <f ca="1">IFERROR(__xludf.DUMMYFUNCTION("""COMPUTED_VALUE"""),"«1С: Управление торговлей 11.1»")</f>
        <v>«1С: Управление торговлей 11.1»</v>
      </c>
      <c r="B202" s="4" t="str">
        <f ca="1">IFERROR(__xludf.DUMMYFUNCTION("""COMPUTED_VALUE"""),"с ЕГАИС (без CheckMark2), МЕГАМАРКЕТ")</f>
        <v>с ЕГАИС (без CheckMark2), МЕГАМАРКЕТ</v>
      </c>
      <c r="C202" s="4" t="str">
        <f ca="1">IFERROR(__xludf.DUMMYFUNCTION("""COMPUTED_VALUE"""),"RTL15CEV-1CUT111")</f>
        <v>RTL15CEV-1CUT111</v>
      </c>
      <c r="D202" s="4" t="str">
        <f ca="1">IFERROR(__xludf.DUMMYFUNCTION("""COMPUTED_VALUE"""),"Mobile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выбор"&amp;"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прос"&amp;"мотр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бессрочна"&amp;"я лицензия на 1 (одно) моб. устройство, подписка на обновления и обмен через Интернет на 1 (один) год")</f>
        <v>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2" s="4" t="str">
        <f ca="1">IFERROR(__xludf.DUMMYFUNCTION("""COMPUTED_VALUE"""),"Mobile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202" s="5">
        <f ca="1">IFERROR(__xludf.DUMMYFUNCTION("""COMPUTED_VALUE"""),25850)</f>
        <v>25850</v>
      </c>
    </row>
    <row r="203" spans="1:6" ht="86.25" customHeight="1" x14ac:dyDescent="0.2">
      <c r="A203" s="4" t="str">
        <f ca="1">IFERROR(__xludf.DUMMYFUNCTION("""COMPUTED_VALUE"""),"«1С: Управление торговлей 11.2»")</f>
        <v>«1С: Управление торговлей 11.2»</v>
      </c>
      <c r="B203" s="4" t="str">
        <f ca="1">IFERROR(__xludf.DUMMYFUNCTION("""COMPUTED_VALUE"""),"МИНИМУМ")</f>
        <v>МИНИМУМ</v>
      </c>
      <c r="C203" s="4" t="str">
        <f ca="1">IFERROR(__xludf.DUMMYFUNCTION("""COMPUTED_VALUE"""),"RTL15M-1CUT112")</f>
        <v>RTL15M-1CUT112</v>
      </c>
      <c r="D203" s="4" t="str">
        <f ca="1">IFERROR(__xludf.DUMMYFUNCTION("""COMPUTED_VALUE"""),"Mobile SMARTS: Магазин 15, МИНИМУМ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н"&amp;"астройка,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"&amp;"год")</f>
        <v>Mobile SMARTS: Магазин 15, МИНИМУМ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03" s="4" t="str">
        <f ca="1">IFERROR(__xludf.DUMMYFUNCTION("""COMPUTED_VALUE"""),"Mobile SMARTS: Магазин 15, МИНИМУМ для «1С: Управление торговлей 11.2», для работы с товаром по штрихкодам ")</f>
        <v xml:space="preserve">Mobile SMARTS: Магазин 15, МИНИМУМ для «1С: Управление торговлей 11.2», для работы с товаром по штрихкодам </v>
      </c>
      <c r="F203" s="5">
        <f ca="1">IFERROR(__xludf.DUMMYFUNCTION("""COMPUTED_VALUE"""),3450)</f>
        <v>3450</v>
      </c>
    </row>
    <row r="204" spans="1:6" ht="86.25" customHeight="1" x14ac:dyDescent="0.2">
      <c r="A204" s="4" t="str">
        <f ca="1">IFERROR(__xludf.DUMMYFUNCTION("""COMPUTED_VALUE"""),"«1С: Управление торговлей 11.2»")</f>
        <v>«1С: Управление торговлей 11.2»</v>
      </c>
      <c r="B204" s="4" t="str">
        <f ca="1">IFERROR(__xludf.DUMMYFUNCTION("""COMPUTED_VALUE"""),"БАЗОВЫЙ")</f>
        <v>БАЗОВЫЙ</v>
      </c>
      <c r="C204" s="4" t="str">
        <f ca="1">IFERROR(__xludf.DUMMYFUNCTION("""COMPUTED_VALUE"""),"RTL15A-1CUT112")</f>
        <v>RTL15A-1CUT112</v>
      </c>
      <c r="D204" s="4" t="str">
        <f ca="1">IFERROR(__xludf.DUMMYFUNCTION("""COMPUTED_VALUE"""),"Mobile SMARTS: Магазин 15, БАЗОВЫЙ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4" s="4" t="str">
        <f ca="1">IFERROR(__xludf.DUMMYFUNCTION("""COMPUTED_VALUE"""),"Mobile SMARTS: Магазин 15, БАЗОВЫЙ для «1С: Управление торговлей 11.2», для работы с товаром по штрихкодам ")</f>
        <v xml:space="preserve">Mobile SMARTS: Магазин 15, БАЗОВЫЙ для «1С: Управление торговлей 11.2», для работы с товаром по штрихкодам </v>
      </c>
      <c r="F204" s="5">
        <f ca="1">IFERROR(__xludf.DUMMYFUNCTION("""COMPUTED_VALUE"""),8650)</f>
        <v>8650</v>
      </c>
    </row>
    <row r="205" spans="1:6" ht="86.25" customHeight="1" x14ac:dyDescent="0.2">
      <c r="A205" s="4" t="str">
        <f ca="1">IFERROR(__xludf.DUMMYFUNCTION("""COMPUTED_VALUE"""),"«1С: Управление торговлей 11.2»")</f>
        <v>«1С: Управление торговлей 11.2»</v>
      </c>
      <c r="B205" s="4" t="str">
        <f ca="1">IFERROR(__xludf.DUMMYFUNCTION("""COMPUTED_VALUE"""),"РАСШИРЕННЫЙ")</f>
        <v>РАСШИРЕННЫЙ</v>
      </c>
      <c r="C205" s="4" t="str">
        <f ca="1">IFERROR(__xludf.DUMMYFUNCTION("""COMPUTED_VALUE"""),"RTL15B-1CUT112")</f>
        <v>RTL15B-1CUT112</v>
      </c>
      <c r="D205" s="4" t="str">
        <f ca="1">IFERROR(__xludf.DUMMYFUNCTION("""COMPUTED_VALUE"""),"Mobile SMARTS: Магазин 15, РАСШИРЕННЫЙ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5" s="4" t="str">
        <f ca="1">IFERROR(__xludf.DUMMYFUNCTION("""COMPUTED_VALUE"""),"Mobile SMARTS: Магазин 15, РАСШИРЕННЫЙ для «1С: Управление торговлей 11.2», для работы с товаром по штрихкодам ")</f>
        <v xml:space="preserve">Mobile SMARTS: Магазин 15, РАСШИРЕННЫЙ для «1С: Управление торговлей 11.2», для работы с товаром по штрихкодам </v>
      </c>
      <c r="F205" s="5">
        <f ca="1">IFERROR(__xludf.DUMMYFUNCTION("""COMPUTED_VALUE"""),15050)</f>
        <v>15050</v>
      </c>
    </row>
    <row r="206" spans="1:6" ht="86.25" customHeight="1" x14ac:dyDescent="0.2">
      <c r="A206" s="4" t="str">
        <f ca="1">IFERROR(__xludf.DUMMYFUNCTION("""COMPUTED_VALUE"""),"«1С: Управление торговлей 11.2»")</f>
        <v>«1С: Управление торговлей 11.2»</v>
      </c>
      <c r="B206" s="4" t="str">
        <f ca="1">IFERROR(__xludf.DUMMYFUNCTION("""COMPUTED_VALUE"""),"МЕГАМАРКЕТ")</f>
        <v>МЕГАМАРКЕТ</v>
      </c>
      <c r="C206" s="4" t="str">
        <f ca="1">IFERROR(__xludf.DUMMYFUNCTION("""COMPUTED_VALUE"""),"RTL15C-1CUT112")</f>
        <v>RTL15C-1CUT112</v>
      </c>
      <c r="D206" s="4" t="str">
        <f ca="1">IFERROR(__xludf.DUMMYFUNCTION("""COMPUTED_VALUE"""),"Mobile SMARTS: Магазин 15, МЕГАМАРКЕТ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6" s="4" t="str">
        <f ca="1">IFERROR(__xludf.DUMMYFUNCTION("""COMPUTED_VALUE"""),"Mobile SMARTS: Магазин 15, МЕГАМАРКЕТ для «1С: Управление торговлей 11.2», для работы с товаром по штрихкодам ")</f>
        <v xml:space="preserve">Mobile SMARTS: Магазин 15, МЕГАМАРКЕТ для «1С: Управление торговлей 11.2», для работы с товаром по штрихкодам </v>
      </c>
      <c r="F206" s="5">
        <f ca="1">IFERROR(__xludf.DUMMYFUNCTION("""COMPUTED_VALUE"""),21550)</f>
        <v>21550</v>
      </c>
    </row>
    <row r="207" spans="1:6" ht="86.25" customHeight="1" x14ac:dyDescent="0.2">
      <c r="A207" s="4" t="str">
        <f ca="1">IFERROR(__xludf.DUMMYFUNCTION("""COMPUTED_VALUE"""),"«1С: Управление торговлей 11.2»")</f>
        <v>«1С: Управление торговлей 11.2»</v>
      </c>
      <c r="B207" s="4" t="str">
        <f ca="1">IFERROR(__xludf.DUMMYFUNCTION("""COMPUTED_VALUE"""),"с ЕГАИС, БАЗОВЫЙ")</f>
        <v>с ЕГАИС, БАЗОВЫЙ</v>
      </c>
      <c r="C207" s="4" t="str">
        <f ca="1">IFERROR(__xludf.DUMMYFUNCTION("""COMPUTED_VALUE"""),"RTL15AE-1CUT112")</f>
        <v>RTL15AE-1CUT112</v>
      </c>
      <c r="D207" s="4" t="str">
        <f ca="1">IFERROR(__xludf.DUMMYFUNCTION("""COMPUTED_VALUE"""),"Mobile SMARTS: Магазин 15 с ЕГАИС, БАЗОВЫЙ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"&amp;"алкоголя,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информация"&amp;"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07" s="4" t="str">
        <f ca="1">IFERROR(__xludf.DUMMYFUNCTION("""COMPUTED_VALUE"""),"Mobile SMARTS: Магазин 15 с ЕГАИС, БАЗОВЫЙ для «1С: Управление торговлей 11.2», для работы с маркированным товаром: алкоголь ЕГАИС и товары по штрихкодам ")</f>
        <v xml:space="preserve">Mobile SMARTS: Магазин 15 с ЕГАИС, БАЗОВЫЙ для «1С: Управление торговлей 11.2», для работы с маркированным товаром: алкоголь ЕГАИС и товары по штрихкодам </v>
      </c>
      <c r="F207" s="5">
        <f ca="1">IFERROR(__xludf.DUMMYFUNCTION("""COMPUTED_VALUE"""),11000)</f>
        <v>11000</v>
      </c>
    </row>
    <row r="208" spans="1:6" ht="86.25" customHeight="1" x14ac:dyDescent="0.2">
      <c r="A208" s="4" t="str">
        <f ca="1">IFERROR(__xludf.DUMMYFUNCTION("""COMPUTED_VALUE"""),"«1С: Управление торговлей 11.2»")</f>
        <v>«1С: Управление торговлей 11.2»</v>
      </c>
      <c r="B208" s="4" t="str">
        <f ca="1">IFERROR(__xludf.DUMMYFUNCTION("""COMPUTED_VALUE"""),"с ЕГАИС, РАСШИРЕННЫЙ")</f>
        <v>с ЕГАИС, РАСШИРЕННЫЙ</v>
      </c>
      <c r="C208" s="4" t="str">
        <f ca="1">IFERROR(__xludf.DUMMYFUNCTION("""COMPUTED_VALUE"""),"RTL15BE-1CUT112")</f>
        <v>RTL15BE-1CUT112</v>
      </c>
      <c r="D208" s="4" t="str">
        <f ca="1">IFERROR(__xludf.DUMMYFUNCTION("""COMPUTED_VALUE"""),"Mobile SMARTS: Магазин 15 с ЕГАИС, РАСШИРЕННЫЙ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8" s="4" t="str">
        <f ca="1">IFERROR(__xludf.DUMMYFUNCTION("""COMPUTED_VALUE"""),"Mobile SMARTS: Магазин 15 с ЕГАИС, РАСШИРЕННЫЙ для «1С: Управление торговлей 11.2», для работы с маркированным товаром: алкоголь ЕГАИС и товары по штрихкодам ")</f>
        <v xml:space="preserve">Mobile SMARTS: Магазин 15 с ЕГАИС, РАСШИРЕННЫЙ для «1С: Управление торговлей 11.2», для работы с маркированным товаром: алкоголь ЕГАИС и товары по штрихкодам </v>
      </c>
      <c r="F208" s="5">
        <f ca="1">IFERROR(__xludf.DUMMYFUNCTION("""COMPUTED_VALUE"""),17450)</f>
        <v>17450</v>
      </c>
    </row>
    <row r="209" spans="1:6" ht="86.25" customHeight="1" x14ac:dyDescent="0.2">
      <c r="A209" s="4" t="str">
        <f ca="1">IFERROR(__xludf.DUMMYFUNCTION("""COMPUTED_VALUE"""),"«1С: Управление торговлей 11.2»")</f>
        <v>«1С: Управление торговлей 11.2»</v>
      </c>
      <c r="B209" s="4" t="str">
        <f ca="1">IFERROR(__xludf.DUMMYFUNCTION("""COMPUTED_VALUE"""),"с ЕГАИС (без CheckMark2), МЕГАМАРКЕТ")</f>
        <v>с ЕГАИС (без CheckMark2), МЕГАМАРКЕТ</v>
      </c>
      <c r="C209" s="4" t="str">
        <f ca="1">IFERROR(__xludf.DUMMYFUNCTION("""COMPUTED_VALUE"""),"RTL15CEV-1CUT112")</f>
        <v>RTL15CEV-1CUT112</v>
      </c>
      <c r="D209" s="4" t="str">
        <f ca="1">IFERROR(__xludf.DUMMYFUNCTION("""COMPUTED_VALUE"""),"Mobile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досту"&amp;"пные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работа"&amp;",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9" s="4" t="str">
        <f ca="1">IFERROR(__xludf.DUMMYFUNCTION("""COMPUTED_VALUE"""),"Mobile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</v>
      </c>
      <c r="F209" s="5">
        <f ca="1">IFERROR(__xludf.DUMMYFUNCTION("""COMPUTED_VALUE"""),23850)</f>
        <v>23850</v>
      </c>
    </row>
    <row r="210" spans="1:6" ht="86.25" customHeight="1" x14ac:dyDescent="0.2">
      <c r="A210" s="4" t="str">
        <f ca="1">IFERROR(__xludf.DUMMYFUNCTION("""COMPUTED_VALUE"""),"«1С: Управление торговлей 11.3»")</f>
        <v>«1С: Управление торговлей 11.3»</v>
      </c>
      <c r="B210" s="4" t="str">
        <f ca="1">IFERROR(__xludf.DUMMYFUNCTION("""COMPUTED_VALUE"""),"МИНИМУМ")</f>
        <v>МИНИМУМ</v>
      </c>
      <c r="C210" s="4" t="str">
        <f ca="1">IFERROR(__xludf.DUMMYFUNCTION("""COMPUTED_VALUE"""),"RTL15M-1CUT113")</f>
        <v>RTL15M-1CUT113</v>
      </c>
      <c r="D210" s="4" t="str">
        <f ca="1">IFERROR(__xludf.DUMMYFUNCTION("""COMPUTED_VALUE"""),"Mobile SMARTS: Магазин 15, МИНИМУМ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н"&amp;"астройка,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"&amp;"год")</f>
        <v>Mobile SMARTS: Магазин 15, МИНИМУМ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10" s="4" t="str">
        <f ca="1">IFERROR(__xludf.DUMMYFUNCTION("""COMPUTED_VALUE"""),"Mobile SMARTS: Магазин 15, МИНИМУМ для «1С: Управление торговлей 11.3», для работы с товаром по штрихкодам ")</f>
        <v xml:space="preserve">Mobile SMARTS: Магазин 15, МИНИМУМ для «1С: Управление торговлей 11.3», для работы с товаром по штрихкодам </v>
      </c>
      <c r="F210" s="5">
        <f ca="1">IFERROR(__xludf.DUMMYFUNCTION("""COMPUTED_VALUE"""),3450)</f>
        <v>3450</v>
      </c>
    </row>
    <row r="211" spans="1:6" ht="86.25" customHeight="1" x14ac:dyDescent="0.2">
      <c r="A211" s="4" t="str">
        <f ca="1">IFERROR(__xludf.DUMMYFUNCTION("""COMPUTED_VALUE"""),"«1С: Управление торговлей 11.3»")</f>
        <v>«1С: Управление торговлей 11.3»</v>
      </c>
      <c r="B211" s="4" t="str">
        <f ca="1">IFERROR(__xludf.DUMMYFUNCTION("""COMPUTED_VALUE"""),"БАЗОВЫЙ")</f>
        <v>БАЗОВЫЙ</v>
      </c>
      <c r="C211" s="4" t="str">
        <f ca="1">IFERROR(__xludf.DUMMYFUNCTION("""COMPUTED_VALUE"""),"RTL15A-1CUT113")</f>
        <v>RTL15A-1CUT113</v>
      </c>
      <c r="D211" s="4" t="str">
        <f ca="1">IFERROR(__xludf.DUMMYFUNCTION("""COMPUTED_VALUE"""),"Mobile SMARTS: Магазин 15, БАЗОВЫЙ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1" s="4" t="str">
        <f ca="1">IFERROR(__xludf.DUMMYFUNCTION("""COMPUTED_VALUE"""),"Mobile SMARTS: Магазин 15, БАЗОВЫЙ для «1С: Управление торговлей 11.3», для работы с товаром по штрихкодам ")</f>
        <v xml:space="preserve">Mobile SMARTS: Магазин 15, БАЗОВЫЙ для «1С: Управление торговлей 11.3», для работы с товаром по штрихкодам </v>
      </c>
      <c r="F211" s="5">
        <f ca="1">IFERROR(__xludf.DUMMYFUNCTION("""COMPUTED_VALUE"""),8650)</f>
        <v>8650</v>
      </c>
    </row>
    <row r="212" spans="1:6" ht="86.25" customHeight="1" x14ac:dyDescent="0.2">
      <c r="A212" s="4" t="str">
        <f ca="1">IFERROR(__xludf.DUMMYFUNCTION("""COMPUTED_VALUE"""),"«1С: Управление торговлей 11.3»")</f>
        <v>«1С: Управление торговлей 11.3»</v>
      </c>
      <c r="B212" s="4" t="str">
        <f ca="1">IFERROR(__xludf.DUMMYFUNCTION("""COMPUTED_VALUE"""),"РАСШИРЕННЫЙ")</f>
        <v>РАСШИРЕННЫЙ</v>
      </c>
      <c r="C212" s="4" t="str">
        <f ca="1">IFERROR(__xludf.DUMMYFUNCTION("""COMPUTED_VALUE"""),"RTL15B-1CUT113")</f>
        <v>RTL15B-1CUT113</v>
      </c>
      <c r="D212" s="4" t="str">
        <f ca="1">IFERROR(__xludf.DUMMYFUNCTION("""COMPUTED_VALUE"""),"Mobile SMARTS: Магазин 15, РАСШИРЕННЫЙ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2" s="4" t="str">
        <f ca="1">IFERROR(__xludf.DUMMYFUNCTION("""COMPUTED_VALUE"""),"Mobile SMARTS: Магазин 15, РАСШИРЕННЫЙ для «1С: Управление торговлей 11.3», для работы с товаром по штрихкодам ")</f>
        <v xml:space="preserve">Mobile SMARTS: Магазин 15, РАСШИРЕННЫЙ для «1С: Управление торговлей 11.3», для работы с товаром по штрихкодам </v>
      </c>
      <c r="F212" s="5">
        <f ca="1">IFERROR(__xludf.DUMMYFUNCTION("""COMPUTED_VALUE"""),15050)</f>
        <v>15050</v>
      </c>
    </row>
    <row r="213" spans="1:6" ht="86.25" customHeight="1" x14ac:dyDescent="0.2">
      <c r="A213" s="4" t="str">
        <f ca="1">IFERROR(__xludf.DUMMYFUNCTION("""COMPUTED_VALUE"""),"«1С: Управление торговлей 11.3»")</f>
        <v>«1С: Управление торговлей 11.3»</v>
      </c>
      <c r="B213" s="4" t="str">
        <f ca="1">IFERROR(__xludf.DUMMYFUNCTION("""COMPUTED_VALUE"""),"МЕГАМАРКЕТ")</f>
        <v>МЕГАМАРКЕТ</v>
      </c>
      <c r="C213" s="4" t="str">
        <f ca="1">IFERROR(__xludf.DUMMYFUNCTION("""COMPUTED_VALUE"""),"RTL15C-1CUT113")</f>
        <v>RTL15C-1CUT113</v>
      </c>
      <c r="D213" s="4" t="str">
        <f ca="1">IFERROR(__xludf.DUMMYFUNCTION("""COMPUTED_VALUE"""),"Mobile SMARTS: Магазин 15, МЕГАМАРКЕТ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3" s="4" t="str">
        <f ca="1">IFERROR(__xludf.DUMMYFUNCTION("""COMPUTED_VALUE"""),"Mobile SMARTS: Магазин 15, МЕГАМАРКЕТ для «1С: Управление торговлей 11.3», для работы с товаром по штрихкодам ")</f>
        <v xml:space="preserve">Mobile SMARTS: Магазин 15, МЕГАМАРКЕТ для «1С: Управление торговлей 11.3», для работы с товаром по штрихкодам </v>
      </c>
      <c r="F213" s="5">
        <f ca="1">IFERROR(__xludf.DUMMYFUNCTION("""COMPUTED_VALUE"""),21550)</f>
        <v>21550</v>
      </c>
    </row>
    <row r="214" spans="1:6" ht="86.25" customHeight="1" x14ac:dyDescent="0.2">
      <c r="A214" s="4" t="str">
        <f ca="1">IFERROR(__xludf.DUMMYFUNCTION("""COMPUTED_VALUE"""),"«1С: Управление торговлей 11.3»")</f>
        <v>«1С: Управление торговлей 11.3»</v>
      </c>
      <c r="B214" s="4" t="str">
        <f ca="1">IFERROR(__xludf.DUMMYFUNCTION("""COMPUTED_VALUE"""),"с ЕГАИС, БАЗОВЫЙ")</f>
        <v>с ЕГАИС, БАЗОВЫЙ</v>
      </c>
      <c r="C214" s="4" t="str">
        <f ca="1">IFERROR(__xludf.DUMMYFUNCTION("""COMPUTED_VALUE"""),"RTL15AE-1CUT113")</f>
        <v>RTL15AE-1CUT113</v>
      </c>
      <c r="D214" s="4" t="str">
        <f ca="1">IFERROR(__xludf.DUMMYFUNCTION("""COMPUTED_VALUE"""),"Mobile SMARTS: Магазин 15 с ЕГАИС, БАЗОВЫЙ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"&amp;"алкоголя,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информация"&amp;"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14" s="4" t="str">
        <f ca="1">IFERROR(__xludf.DUMMYFUNCTION("""COMPUTED_VALUE"""),"Mobile SMARTS: Магазин 15 с ЕГАИС, БАЗОВЫЙ для «1С: Управление торговлей 11.3», для работы с маркированным товаром: алкоголь ЕГАИС и товары по штрихкодам ")</f>
        <v xml:space="preserve">Mobile SMARTS: Магазин 15 с ЕГАИС, БАЗОВЫЙ для «1С: Управление торговлей 11.3», для работы с маркированным товаром: алкоголь ЕГАИС и товары по штрихкодам </v>
      </c>
      <c r="F214" s="5">
        <f ca="1">IFERROR(__xludf.DUMMYFUNCTION("""COMPUTED_VALUE"""),11000)</f>
        <v>11000</v>
      </c>
    </row>
    <row r="215" spans="1:6" ht="86.25" customHeight="1" x14ac:dyDescent="0.2">
      <c r="A215" s="4" t="str">
        <f ca="1">IFERROR(__xludf.DUMMYFUNCTION("""COMPUTED_VALUE"""),"«1С: Управление торговлей 11.3»")</f>
        <v>«1С: Управление торговлей 11.3»</v>
      </c>
      <c r="B215" s="4" t="str">
        <f ca="1">IFERROR(__xludf.DUMMYFUNCTION("""COMPUTED_VALUE"""),"с ЕГАИС, РАСШИРЕННЫЙ")</f>
        <v>с ЕГАИС, РАСШИРЕННЫЙ</v>
      </c>
      <c r="C215" s="4" t="str">
        <f ca="1">IFERROR(__xludf.DUMMYFUNCTION("""COMPUTED_VALUE"""),"RTL15BE-1CUT113")</f>
        <v>RTL15BE-1CUT113</v>
      </c>
      <c r="D215" s="4" t="str">
        <f ca="1">IFERROR(__xludf.DUMMYFUNCTION("""COMPUTED_VALUE"""),"Mobile SMARTS: Магазин 15 с ЕГАИС, РАСШИРЕННЫЙ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5" s="4" t="str">
        <f ca="1">IFERROR(__xludf.DUMMYFUNCTION("""COMPUTED_VALUE"""),"Mobile SMARTS: Магазин 15 с ЕГАИС, РАСШИРЕННЫЙ для «1С: Управление торговлей 11.3», для работы с маркированным товаром: алкоголь ЕГАИС и товары по штрихкодам ")</f>
        <v xml:space="preserve">Mobile SMARTS: Магазин 15 с ЕГАИС, РАСШИРЕННЫЙ для «1С: Управление торговлей 11.3», для работы с маркированным товаром: алкоголь ЕГАИС и товары по штрихкодам </v>
      </c>
      <c r="F215" s="5">
        <f ca="1">IFERROR(__xludf.DUMMYFUNCTION("""COMPUTED_VALUE"""),17450)</f>
        <v>17450</v>
      </c>
    </row>
    <row r="216" spans="1:6" ht="86.25" customHeight="1" x14ac:dyDescent="0.2">
      <c r="A216" s="4" t="str">
        <f ca="1">IFERROR(__xludf.DUMMYFUNCTION("""COMPUTED_VALUE"""),"«1С: Управление торговлей 11.3»")</f>
        <v>«1С: Управление торговлей 11.3»</v>
      </c>
      <c r="B216" s="4" t="str">
        <f ca="1">IFERROR(__xludf.DUMMYFUNCTION("""COMPUTED_VALUE"""),"с ЕГАИС (без CheckMark2), МЕГАМАРКЕТ")</f>
        <v>с ЕГАИС (без CheckMark2), МЕГАМАРКЕТ</v>
      </c>
      <c r="C216" s="4" t="str">
        <f ca="1">IFERROR(__xludf.DUMMYFUNCTION("""COMPUTED_VALUE"""),"RTL15CEV-1CUT113")</f>
        <v>RTL15CEV-1CUT113</v>
      </c>
      <c r="D216" s="4" t="str">
        <f ca="1">IFERROR(__xludf.DUMMYFUNCTION("""COMPUTED_VALUE"""),"Mobile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досту"&amp;"пные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работа"&amp;",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6" s="4" t="str">
        <f ca="1">IFERROR(__xludf.DUMMYFUNCTION("""COMPUTED_VALUE"""),"Mobile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</v>
      </c>
      <c r="F216" s="5">
        <f ca="1">IFERROR(__xludf.DUMMYFUNCTION("""COMPUTED_VALUE"""),23850)</f>
        <v>23850</v>
      </c>
    </row>
    <row r="217" spans="1:6" ht="86.25" customHeight="1" x14ac:dyDescent="0.2">
      <c r="A217" s="4" t="str">
        <f ca="1">IFERROR(__xludf.DUMMYFUNCTION("""COMPUTED_VALUE"""),"«1С: Управление торговлей 11.4»")</f>
        <v>«1С: Управление торговлей 11.4»</v>
      </c>
      <c r="B217" s="4" t="str">
        <f ca="1">IFERROR(__xludf.DUMMYFUNCTION("""COMPUTED_VALUE"""),"МИНИМУМ")</f>
        <v>МИНИМУМ</v>
      </c>
      <c r="C217" s="4" t="str">
        <f ca="1">IFERROR(__xludf.DUMMYFUNCTION("""COMPUTED_VALUE"""),"RTL15M-1CUT114")</f>
        <v>RTL15M-1CUT114</v>
      </c>
      <c r="D217" s="4" t="str">
        <f ca="1">IFERROR(__xludf.DUMMYFUNCTION("""COMPUTED_VALUE"""),"Mobile SMARTS: Магазин 15, МИНИМУМ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н"&amp;"астройка,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"&amp;"год")</f>
        <v>Mobile SMARTS: Магазин 15, МИНИМУМ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17" s="4" t="str">
        <f ca="1">IFERROR(__xludf.DUMMYFUNCTION("""COMPUTED_VALUE"""),"Mobile SMARTS: Магазин 15, МИНИМУМ для «1С: Управление торговлей 11.4», для работы с товаром по штрихкодам ")</f>
        <v xml:space="preserve">Mobile SMARTS: Магазин 15, МИНИМУМ для «1С: Управление торговлей 11.4», для работы с товаром по штрихкодам </v>
      </c>
      <c r="F217" s="5">
        <f ca="1">IFERROR(__xludf.DUMMYFUNCTION("""COMPUTED_VALUE"""),3450)</f>
        <v>3450</v>
      </c>
    </row>
    <row r="218" spans="1:6" ht="86.25" customHeight="1" x14ac:dyDescent="0.2">
      <c r="A218" s="4" t="str">
        <f ca="1">IFERROR(__xludf.DUMMYFUNCTION("""COMPUTED_VALUE"""),"«1С: Управление торговлей 11.4»")</f>
        <v>«1С: Управление торговлей 11.4»</v>
      </c>
      <c r="B218" s="4" t="str">
        <f ca="1">IFERROR(__xludf.DUMMYFUNCTION("""COMPUTED_VALUE"""),"БАЗОВЫЙ")</f>
        <v>БАЗОВЫЙ</v>
      </c>
      <c r="C218" s="4" t="str">
        <f ca="1">IFERROR(__xludf.DUMMYFUNCTION("""COMPUTED_VALUE"""),"RTL15A-1CUT114")</f>
        <v>RTL15A-1CUT114</v>
      </c>
      <c r="D218" s="4" t="str">
        <f ca="1">IFERROR(__xludf.DUMMYFUNCTION("""COMPUTED_VALUE"""),"Mobile SMARTS: Магазин 15, БАЗОВЫЙ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8" s="4" t="str">
        <f ca="1">IFERROR(__xludf.DUMMYFUNCTION("""COMPUTED_VALUE"""),"Mobile SMARTS: Магазин 15, БАЗОВЫЙ для «1С: Управление торговлей 11.4», для работы с товаром по штрихкодам ")</f>
        <v xml:space="preserve">Mobile SMARTS: Магазин 15, БАЗОВЫЙ для «1С: Управление торговлей 11.4», для работы с товаром по штрихкодам </v>
      </c>
      <c r="F218" s="5">
        <f ca="1">IFERROR(__xludf.DUMMYFUNCTION("""COMPUTED_VALUE"""),8650)</f>
        <v>8650</v>
      </c>
    </row>
    <row r="219" spans="1:6" ht="86.25" customHeight="1" x14ac:dyDescent="0.2">
      <c r="A219" s="4" t="str">
        <f ca="1">IFERROR(__xludf.DUMMYFUNCTION("""COMPUTED_VALUE"""),"«1С: Управление торговлей 11.4»")</f>
        <v>«1С: Управление торговлей 11.4»</v>
      </c>
      <c r="B219" s="4" t="str">
        <f ca="1">IFERROR(__xludf.DUMMYFUNCTION("""COMPUTED_VALUE"""),"РАСШИРЕННЫЙ")</f>
        <v>РАСШИРЕННЫЙ</v>
      </c>
      <c r="C219" s="4" t="str">
        <f ca="1">IFERROR(__xludf.DUMMYFUNCTION("""COMPUTED_VALUE"""),"RTL15B-1CUT114")</f>
        <v>RTL15B-1CUT114</v>
      </c>
      <c r="D219" s="4" t="str">
        <f ca="1">IFERROR(__xludf.DUMMYFUNCTION("""COMPUTED_VALUE"""),"Mobile SMARTS: Магазин 15, РАСШИРЕННЫЙ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9" s="4" t="str">
        <f ca="1">IFERROR(__xludf.DUMMYFUNCTION("""COMPUTED_VALUE"""),"Mobile SMARTS: Магазин 15, РАСШИРЕННЫЙ для «1С: Управление торговлей 11.4», для работы с товаром по штрихкодам ")</f>
        <v xml:space="preserve">Mobile SMARTS: Магазин 15, РАСШИРЕННЫЙ для «1С: Управление торговлей 11.4», для работы с товаром по штрихкодам </v>
      </c>
      <c r="F219" s="5">
        <f ca="1">IFERROR(__xludf.DUMMYFUNCTION("""COMPUTED_VALUE"""),15050)</f>
        <v>15050</v>
      </c>
    </row>
    <row r="220" spans="1:6" ht="86.25" customHeight="1" x14ac:dyDescent="0.2">
      <c r="A220" s="4" t="str">
        <f ca="1">IFERROR(__xludf.DUMMYFUNCTION("""COMPUTED_VALUE"""),"«1С: Управление торговлей 11.4»")</f>
        <v>«1С: Управление торговлей 11.4»</v>
      </c>
      <c r="B220" s="4" t="str">
        <f ca="1">IFERROR(__xludf.DUMMYFUNCTION("""COMPUTED_VALUE"""),"МЕГАМАРКЕТ")</f>
        <v>МЕГАМАРКЕТ</v>
      </c>
      <c r="C220" s="4" t="str">
        <f ca="1">IFERROR(__xludf.DUMMYFUNCTION("""COMPUTED_VALUE"""),"RTL15C-1CUT114")</f>
        <v>RTL15C-1CUT114</v>
      </c>
      <c r="D220" s="4" t="str">
        <f ca="1">IFERROR(__xludf.DUMMYFUNCTION("""COMPUTED_VALUE"""),"Mobile SMARTS: Магазин 15, МЕГАМАРКЕТ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0" s="4" t="str">
        <f ca="1">IFERROR(__xludf.DUMMYFUNCTION("""COMPUTED_VALUE"""),"Mobile SMARTS: Магазин 15, МЕГАМАРКЕТ для «1С: Управление торговлей 11.4», для работы с товаром по штрихкодам ")</f>
        <v xml:space="preserve">Mobile SMARTS: Магазин 15, МЕГАМАРКЕТ для «1С: Управление торговлей 11.4», для работы с товаром по штрихкодам </v>
      </c>
      <c r="F220" s="5">
        <f ca="1">IFERROR(__xludf.DUMMYFUNCTION("""COMPUTED_VALUE"""),21550)</f>
        <v>21550</v>
      </c>
    </row>
    <row r="221" spans="1:6" ht="86.25" customHeight="1" x14ac:dyDescent="0.2">
      <c r="A221" s="4" t="str">
        <f ca="1">IFERROR(__xludf.DUMMYFUNCTION("""COMPUTED_VALUE"""),"«1С: Управление торговлей 11.4»")</f>
        <v>«1С: Управление торговлей 11.4»</v>
      </c>
      <c r="B221" s="4" t="str">
        <f ca="1">IFERROR(__xludf.DUMMYFUNCTION("""COMPUTED_VALUE"""),"с ЕГАИС, БАЗОВЫЙ")</f>
        <v>с ЕГАИС, БАЗОВЫЙ</v>
      </c>
      <c r="C221" s="4" t="str">
        <f ca="1">IFERROR(__xludf.DUMMYFUNCTION("""COMPUTED_VALUE"""),"RTL15AE-1CUT114")</f>
        <v>RTL15AE-1CUT114</v>
      </c>
      <c r="D221" s="4" t="str">
        <f ca="1">IFERROR(__xludf.DUMMYFUNCTION("""COMPUTED_VALUE"""),"Mobile SMARTS: Магазин 15 с ЕГАИС, БАЗОВЫЙ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"&amp;"алкоголя,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информация"&amp;"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21" s="4" t="str">
        <f ca="1">IFERROR(__xludf.DUMMYFUNCTION("""COMPUTED_VALUE"""),"Mobile SMARTS: Магазин 15 с ЕГАИС, БАЗОВЫЙ для «1С: Управление торговлей 11.4», для работы с маркированным товаром: алкоголь ЕГАИС и товары по штрихкодам ")</f>
        <v xml:space="preserve">Mobile SMARTS: Магазин 15 с ЕГАИС, БАЗОВЫЙ для «1С: Управление торговлей 11.4», для работы с маркированным товаром: алкоголь ЕГАИС и товары по штрихкодам </v>
      </c>
      <c r="F221" s="5">
        <f ca="1">IFERROR(__xludf.DUMMYFUNCTION("""COMPUTED_VALUE"""),11000)</f>
        <v>11000</v>
      </c>
    </row>
    <row r="222" spans="1:6" ht="86.25" customHeight="1" x14ac:dyDescent="0.2">
      <c r="A222" s="4" t="str">
        <f ca="1">IFERROR(__xludf.DUMMYFUNCTION("""COMPUTED_VALUE"""),"«1С: Управление торговлей 11.4»")</f>
        <v>«1С: Управление торговлей 11.4»</v>
      </c>
      <c r="B222" s="4" t="str">
        <f ca="1">IFERROR(__xludf.DUMMYFUNCTION("""COMPUTED_VALUE"""),"с ЕГАИС, РАСШИРЕННЫЙ")</f>
        <v>с ЕГАИС, РАСШИРЕННЫЙ</v>
      </c>
      <c r="C222" s="4" t="str">
        <f ca="1">IFERROR(__xludf.DUMMYFUNCTION("""COMPUTED_VALUE"""),"RTL15BE-1CUT114")</f>
        <v>RTL15BE-1CUT114</v>
      </c>
      <c r="D222" s="4" t="str">
        <f ca="1">IFERROR(__xludf.DUMMYFUNCTION("""COMPUTED_VALUE"""),"Mobile SMARTS: Магазин 15 с ЕГАИС, РАСШИРЕННЫЙ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2" s="4" t="str">
        <f ca="1">IFERROR(__xludf.DUMMYFUNCTION("""COMPUTED_VALUE"""),"Mobile SMARTS: Магазин 15 с ЕГАИС, РАСШИРЕННЫЙ для «1С: Управление торговлей 11.4», для работы с маркированным товаром: алкоголь ЕГАИС и товары по штрихкодам ")</f>
        <v xml:space="preserve">Mobile SMARTS: Магазин 15 с ЕГАИС, РАСШИРЕННЫЙ для «1С: Управление торговлей 11.4», для работы с маркированным товаром: алкоголь ЕГАИС и товары по штрихкодам </v>
      </c>
      <c r="F222" s="5">
        <f ca="1">IFERROR(__xludf.DUMMYFUNCTION("""COMPUTED_VALUE"""),17450)</f>
        <v>17450</v>
      </c>
    </row>
    <row r="223" spans="1:6" ht="86.25" customHeight="1" x14ac:dyDescent="0.2">
      <c r="A223" s="4" t="str">
        <f ca="1">IFERROR(__xludf.DUMMYFUNCTION("""COMPUTED_VALUE"""),"«1С: Управление торговлей 11.4»")</f>
        <v>«1С: Управление торговлей 11.4»</v>
      </c>
      <c r="B223" s="4" t="str">
        <f ca="1">IFERROR(__xludf.DUMMYFUNCTION("""COMPUTED_VALUE"""),"с ЕГАИС (без CheckMark2), МЕГАМАРКЕТ")</f>
        <v>с ЕГАИС (без CheckMark2), МЕГАМАРКЕТ</v>
      </c>
      <c r="C223" s="4" t="str">
        <f ca="1">IFERROR(__xludf.DUMMYFUNCTION("""COMPUTED_VALUE"""),"RTL15CEV-1CUT114")</f>
        <v>RTL15CEV-1CUT114</v>
      </c>
      <c r="D223" s="4" t="str">
        <f ca="1">IFERROR(__xludf.DUMMYFUNCTION("""COMPUTED_VALUE"""),"Mobile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досту"&amp;"пные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работа"&amp;",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3" s="4" t="str">
        <f ca="1">IFERROR(__xludf.DUMMYFUNCTION("""COMPUTED_VALUE"""),"Mobile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</v>
      </c>
      <c r="F223" s="5">
        <f ca="1">IFERROR(__xludf.DUMMYFUNCTION("""COMPUTED_VALUE"""),23850)</f>
        <v>23850</v>
      </c>
    </row>
    <row r="224" spans="1:6" ht="86.25" customHeight="1" x14ac:dyDescent="0.2">
      <c r="A224" s="4" t="str">
        <f ca="1">IFERROR(__xludf.DUMMYFUNCTION("""COMPUTED_VALUE"""),"«1С: Управление торговлей 11.4.10»")</f>
        <v>«1С: Управление торговлей 11.4.10»</v>
      </c>
      <c r="B224" s="4" t="str">
        <f ca="1">IFERROR(__xludf.DUMMYFUNCTION("""COMPUTED_VALUE"""),"с МОТП, БАЗОВЫЙ")</f>
        <v>с МОТП, БАЗОВЫЙ</v>
      </c>
      <c r="C224" s="4" t="str">
        <f ca="1">IFERROR(__xludf.DUMMYFUNCTION("""COMPUTED_VALUE"""),"RTL15AT-1CUT114")</f>
        <v>RTL15AT-1CUT114</v>
      </c>
      <c r="D224" s="4" t="str">
        <f ca="1">IFERROR(__xludf.DUMMYFUNCTION("""COMPUTED_VALUE"""),"Mobile SMARTS: Магазин 15 с МОТП, БАЗОВЫЙ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"&amp;"(в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"&amp;"о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4" s="4" t="str">
        <f ca="1">IFERROR(__xludf.DUMMYFUNCTION("""COMPUTED_VALUE"""),"Mobile SMARTS: Магазин 15 с МОТП, БАЗОВЫЙ для «1С: Управление торговлей 11.4.10», для работы с маркированным товаром: ТАБАК и товары по штрихкодам ")</f>
        <v xml:space="preserve">Mobile SMARTS: Магазин 15 с МОТП, БАЗОВЫЙ для «1С: Управление торговлей 11.4.10», для работы с маркированным товаром: ТАБАК и товары по штрихкодам </v>
      </c>
      <c r="F224" s="5">
        <f ca="1">IFERROR(__xludf.DUMMYFUNCTION("""COMPUTED_VALUE"""),11150)</f>
        <v>11150</v>
      </c>
    </row>
    <row r="225" spans="1:6" ht="86.25" customHeight="1" x14ac:dyDescent="0.2">
      <c r="A225" s="4" t="str">
        <f ca="1">IFERROR(__xludf.DUMMYFUNCTION("""COMPUTED_VALUE"""),"«1С: Управление торговлей 11.4.10»")</f>
        <v>«1С: Управление торговлей 11.4.10»</v>
      </c>
      <c r="B225" s="4" t="str">
        <f ca="1">IFERROR(__xludf.DUMMYFUNCTION("""COMPUTED_VALUE"""),"с МОТП, РАСШИРЕННЫЙ")</f>
        <v>с МОТП, РАСШИРЕННЫЙ</v>
      </c>
      <c r="C225" s="4" t="str">
        <f ca="1">IFERROR(__xludf.DUMMYFUNCTION("""COMPUTED_VALUE"""),"RTL15BT-1CUT114")</f>
        <v>RTL15BT-1CUT114</v>
      </c>
      <c r="D225" s="4" t="str">
        <f ca="1">IFERROR(__xludf.DUMMYFUNCTION("""COMPUTED_VALUE"""),"Mobile SMARTS: Магазин 15 с МОТП, РАСШИРЕННЫЙ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поступле"&amp;"ние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информа"&amp;"ция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5" s="4" t="str">
        <f ca="1">IFERROR(__xludf.DUMMYFUNCTION("""COMPUTED_VALUE"""),"Mobile SMARTS: Магазин 15 с МОТП, РАСШИРЕННЫЙ для «1С: Управление торговлей 11.4.10», для работы с маркированным товаром: ТАБАК и товары по штрихкодам ")</f>
        <v xml:space="preserve">Mobile SMARTS: Магазин 15 с МОТП, РАСШИРЕННЫЙ для «1С: Управление торговлей 11.4.10», для работы с маркированным товаром: ТАБАК и товары по штрихкодам </v>
      </c>
      <c r="F225" s="5">
        <f ca="1">IFERROR(__xludf.DUMMYFUNCTION("""COMPUTED_VALUE"""),17450)</f>
        <v>17450</v>
      </c>
    </row>
    <row r="226" spans="1:6" ht="86.25" customHeight="1" x14ac:dyDescent="0.2">
      <c r="A226" s="4" t="str">
        <f ca="1">IFERROR(__xludf.DUMMYFUNCTION("""COMPUTED_VALUE"""),"«1С: Управление торговлей 11.4.10»")</f>
        <v>«1С: Управление торговлей 11.4.10»</v>
      </c>
      <c r="B226" s="4" t="str">
        <f ca="1">IFERROR(__xludf.DUMMYFUNCTION("""COMPUTED_VALUE"""),"с МОТП, МЕГАМАРКЕТ")</f>
        <v>с МОТП, МЕГАМАРКЕТ</v>
      </c>
      <c r="C226" s="4" t="str">
        <f ca="1">IFERROR(__xludf.DUMMYFUNCTION("""COMPUTED_VALUE"""),"RTL15CT-1CUT114")</f>
        <v>RTL15CT-1CUT114</v>
      </c>
      <c r="D226" s="4" t="str">
        <f ca="1">IFERROR(__xludf.DUMMYFUNCTION("""COMPUTED_VALUE"""),"Mobile SMARTS: Магазин 15 с МОТП, МЕГАМАРКЕТ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поступлен"&amp;"ие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коллекти"&amp;"вная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на"&amp;" 1 (один) год")</f>
        <v>Mobile SMARTS: Магазин 15 с МОТП, МЕГАМАРКЕТ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6" s="4" t="str">
        <f ca="1">IFERROR(__xludf.DUMMYFUNCTION("""COMPUTED_VALUE"""),"Mobile SMARTS: Магазин 15 с МОТП, МЕГАМАРКЕТ для «1С: Управление торговлей 11.4.10», для работы с маркированным товаром: ТАБАК и товары по штрихкодам ")</f>
        <v xml:space="preserve">Mobile SMARTS: Магазин 15 с МОТП, МЕГАМАРКЕТ для «1С: Управление торговлей 11.4.10», для работы с маркированным товаром: ТАБАК и товары по штрихкодам </v>
      </c>
      <c r="F226" s="5">
        <f ca="1">IFERROR(__xludf.DUMMYFUNCTION("""COMPUTED_VALUE"""),23850)</f>
        <v>23850</v>
      </c>
    </row>
    <row r="227" spans="1:6" ht="86.25" customHeight="1" x14ac:dyDescent="0.2">
      <c r="A227" s="4" t="str">
        <f ca="1">IFERROR(__xludf.DUMMYFUNCTION("""COMPUTED_VALUE"""),"«1С: Управление торговлей 11.4.10»")</f>
        <v>«1С: Управление торговлей 11.4.10»</v>
      </c>
      <c r="B227" s="4" t="str">
        <f ca="1">IFERROR(__xludf.DUMMYFUNCTION("""COMPUTED_VALUE"""),"с ЕГАИС и МОТП, БАЗОВЫЙ")</f>
        <v>с ЕГАИС и МОТП, БАЗОВЫЙ</v>
      </c>
      <c r="C227" s="4" t="str">
        <f ca="1">IFERROR(__xludf.DUMMYFUNCTION("""COMPUTED_VALUE"""),"RTL15AET-1CUT114")</f>
        <v>RTL15AET-1CUT114</v>
      </c>
      <c r="D227" s="4" t="str">
        <f ca="1">IFERROR(__xludf.DUMMYFUNCTION("""COMPUTED_VALUE"""),"Mobile SMARTS: Магазин 15 с ЕГАИС и МОТП, БАЗОВЫЙ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опер"&amp;"ации: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"&amp;"возможность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7" s="4" t="str">
        <f ca="1">IFERROR(__xludf.DUMMYFUNCTION("""COMPUTED_VALUE"""),"Mobile SMARTS: Магазин 15 с ЕГАИС и МОТП, БАЗОВЫЙ для «1С: Управление торговлей 11.4.10», для работы с маркированным товаром: АЛКОГОЛЬ, ТАБАК и товары по штрихкодам ")</f>
        <v xml:space="preserve">Mobile SMARTS: Магазин 15 с ЕГАИС и МОТП, БАЗОВЫЙ для «1С: Управление торговлей 11.4.10», для работы с маркированным товаром: АЛКОГОЛЬ, ТАБАК и товары по штрихкодам </v>
      </c>
      <c r="F227" s="5">
        <f ca="1">IFERROR(__xludf.DUMMYFUNCTION("""COMPUTED_VALUE"""),12150)</f>
        <v>12150</v>
      </c>
    </row>
    <row r="228" spans="1:6" ht="86.25" customHeight="1" x14ac:dyDescent="0.2">
      <c r="A228" s="4" t="str">
        <f ca="1">IFERROR(__xludf.DUMMYFUNCTION("""COMPUTED_VALUE"""),"«1С: Управление торговлей 11.4.10»")</f>
        <v>«1С: Управление торговлей 11.4.10»</v>
      </c>
      <c r="B228" s="4" t="str">
        <f ca="1">IFERROR(__xludf.DUMMYFUNCTION("""COMPUTED_VALUE"""),"с ЕГАИС и МОТП, РАСШИРЕННЫЙ")</f>
        <v>с ЕГАИС и МОТП, РАСШИРЕННЫЙ</v>
      </c>
      <c r="C228" s="4" t="str">
        <f ca="1">IFERROR(__xludf.DUMMYFUNCTION("""COMPUTED_VALUE"""),"RTL15BET-1CUT114")</f>
        <v>RTL15BET-1CUT114</v>
      </c>
      <c r="D228" s="4" t="str">
        <f ca="1">IFERROR(__xludf.DUMMYFUNCTION("""COMPUTED_VALUE"""),"Mobile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операци"&amp;"й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8" s="4" t="str">
        <f ca="1">IFERROR(__xludf.DUMMYFUNCTION("""COMPUTED_VALUE"""),"Mobile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")</f>
        <v xml:space="preserve">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</v>
      </c>
      <c r="F228" s="5">
        <f ca="1">IFERROR(__xludf.DUMMYFUNCTION("""COMPUTED_VALUE"""),18550)</f>
        <v>18550</v>
      </c>
    </row>
    <row r="229" spans="1:6" ht="86.25" customHeight="1" x14ac:dyDescent="0.2">
      <c r="A229" s="4" t="str">
        <f ca="1">IFERROR(__xludf.DUMMYFUNCTION("""COMPUTED_VALUE"""),"«1С: Управление торговлей 11.4.10»")</f>
        <v>«1С: Управление торговлей 11.4.10»</v>
      </c>
      <c r="B229" s="4" t="str">
        <f ca="1">IFERROR(__xludf.DUMMYFUNCTION("""COMPUTED_VALUE"""),"с ЕГАИС и МОТП, МЕГАМАРКЕТ")</f>
        <v>с ЕГАИС и МОТП, МЕГАМАРКЕТ</v>
      </c>
      <c r="C229" s="4" t="str">
        <f ca="1">IFERROR(__xludf.DUMMYFUNCTION("""COMPUTED_VALUE"""),"RTL15CET-1CUT114")</f>
        <v>RTL15CET-1CUT114</v>
      </c>
      <c r="D229" s="4" t="str">
        <f ca="1">IFERROR(__xludf.DUMMYFUNCTION("""COMPUTED_VALUE"""),"Mobile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о"&amp;"перации: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9" s="4" t="str">
        <f ca="1">IFERROR(__xludf.DUMMYFUNCTION("""COMPUTED_VALUE"""),"Mobile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")</f>
        <v xml:space="preserve">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</v>
      </c>
      <c r="F229" s="5">
        <f ca="1">IFERROR(__xludf.DUMMYFUNCTION("""COMPUTED_VALUE"""),26350)</f>
        <v>26350</v>
      </c>
    </row>
    <row r="230" spans="1:6" ht="86.25" customHeight="1" x14ac:dyDescent="0.2">
      <c r="A230" s="4" t="str">
        <f ca="1">IFERROR(__xludf.DUMMYFUNCTION("""COMPUTED_VALUE"""),"«1С: Управление торговлей 11.4.10»")</f>
        <v>«1С: Управление торговлей 11.4.10»</v>
      </c>
      <c r="B230" s="4" t="str">
        <f ca="1">IFERROR(__xludf.DUMMYFUNCTION("""COMPUTED_VALUE"""),"ШМОТКИ, БАЗОВЫЙ")</f>
        <v>ШМОТКИ, БАЗОВЫЙ</v>
      </c>
      <c r="C230" s="4" t="str">
        <f ca="1">IFERROR(__xludf.DUMMYFUNCTION("""COMPUTED_VALUE"""),"RTL15AK-1CUT114")</f>
        <v>RTL15AK-1CUT114</v>
      </c>
      <c r="D230" s="4" t="str">
        <f ca="1">IFERROR(__xludf.DUMMYFUNCTION("""COMPUTED_VALUE"""),"Mobile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0" s="4" t="str">
        <f ca="1">IFERROR(__xludf.DUMMYFUNCTION("""COMPUTED_VALUE"""),"Mobile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")</f>
        <v xml:space="preserve">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</v>
      </c>
      <c r="F230" s="5">
        <f ca="1">IFERROR(__xludf.DUMMYFUNCTION("""COMPUTED_VALUE"""),12150)</f>
        <v>12150</v>
      </c>
    </row>
    <row r="231" spans="1:6" ht="86.25" customHeight="1" x14ac:dyDescent="0.2">
      <c r="A231" s="4" t="str">
        <f ca="1">IFERROR(__xludf.DUMMYFUNCTION("""COMPUTED_VALUE"""),"«1С: Управление торговлей 11.4.10»")</f>
        <v>«1С: Управление торговлей 11.4.10»</v>
      </c>
      <c r="B231" s="4" t="str">
        <f ca="1">IFERROR(__xludf.DUMMYFUNCTION("""COMPUTED_VALUE"""),"ШМОТКИ, РАСШИРЕННЫЙ")</f>
        <v>ШМОТКИ, РАСШИРЕННЫЙ</v>
      </c>
      <c r="C231" s="4" t="str">
        <f ca="1">IFERROR(__xludf.DUMMYFUNCTION("""COMPUTED_VALUE"""),"RTL15BK-1CUT114")</f>
        <v>RTL15BK-1CUT114</v>
      </c>
      <c r="D231" s="4" t="str">
        <f ca="1">IFERROR(__xludf.DUMMYFUNCTION("""COMPUTED_VALUE"""),"Mobile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доступ"&amp;"ные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"&amp;"/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1" s="4" t="str">
        <f ca="1">IFERROR(__xludf.DUMMYFUNCTION("""COMPUTED_VALUE"""),"Mobile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</v>
      </c>
      <c r="F231" s="5">
        <f ca="1">IFERROR(__xludf.DUMMYFUNCTION("""COMPUTED_VALUE"""),18550)</f>
        <v>18550</v>
      </c>
    </row>
    <row r="232" spans="1:6" ht="86.25" customHeight="1" x14ac:dyDescent="0.2">
      <c r="A232" s="4" t="str">
        <f ca="1">IFERROR(__xludf.DUMMYFUNCTION("""COMPUTED_VALUE"""),"«1С: Управление торговлей 11.4.10»")</f>
        <v>«1С: Управление торговлей 11.4.10»</v>
      </c>
      <c r="B232" s="4" t="str">
        <f ca="1">IFERROR(__xludf.DUMMYFUNCTION("""COMPUTED_VALUE"""),"ШМОТКИ, МЕГАМАРКЕТ")</f>
        <v>ШМОТКИ, МЕГАМАРКЕТ</v>
      </c>
      <c r="C232" s="4" t="str">
        <f ca="1">IFERROR(__xludf.DUMMYFUNCTION("""COMPUTED_VALUE"""),"RTL15CK-1CUT114")</f>
        <v>RTL15CK-1CUT114</v>
      </c>
      <c r="D232" s="4" t="str">
        <f ca="1">IFERROR(__xludf.DUMMYFUNCTION("""COMPUTED_VALUE"""),"Mobile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доступн"&amp;"ые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/"&amp;"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о"&amp;"бмен через Интернет на 1 (один) год")</f>
        <v>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2" s="4" t="str">
        <f ca="1">IFERROR(__xludf.DUMMYFUNCTION("""COMPUTED_VALUE"""),"Mobile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</v>
      </c>
      <c r="F232" s="5">
        <f ca="1">IFERROR(__xludf.DUMMYFUNCTION("""COMPUTED_VALUE"""),26350)</f>
        <v>26350</v>
      </c>
    </row>
    <row r="233" spans="1:6" ht="86.25" customHeight="1" x14ac:dyDescent="0.2">
      <c r="A233" s="4" t="str">
        <f ca="1">IFERROR(__xludf.DUMMYFUNCTION("""COMPUTED_VALUE"""),"«1С: Управление торговлей 11.4.10»")</f>
        <v>«1С: Управление торговлей 11.4.10»</v>
      </c>
      <c r="B233" s="4" t="str">
        <f ca="1">IFERROR(__xludf.DUMMYFUNCTION("""COMPUTED_VALUE"""),"ПРОДУКТОВЫЙ, БАЗОВЫЙ")</f>
        <v>ПРОДУКТОВЫЙ, БАЗОВЫЙ</v>
      </c>
      <c r="C233" s="4" t="str">
        <f ca="1">IFERROR(__xludf.DUMMYFUNCTION("""COMPUTED_VALUE"""),"RTL15AG-1CUT114")</f>
        <v>RTL15AG-1CUT114</v>
      </c>
      <c r="D233" s="4" t="str">
        <f ca="1">IFERROR(__xludf.DUMMYFUNCTION("""COMPUTED_VALUE"""),"Mobile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"&amp;"через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3" s="4" t="str">
        <f ca="1">IFERROR(__xludf.DUMMYFUNCTION("""COMPUTED_VALUE"""),"Mobile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</v>
      </c>
      <c r="F233" s="5">
        <f ca="1">IFERROR(__xludf.DUMMYFUNCTION("""COMPUTED_VALUE"""),14550)</f>
        <v>14550</v>
      </c>
    </row>
    <row r="234" spans="1:6" ht="86.25" customHeight="1" x14ac:dyDescent="0.2">
      <c r="A234" s="4" t="str">
        <f ca="1">IFERROR(__xludf.DUMMYFUNCTION("""COMPUTED_VALUE"""),"«1С: Управление торговлей 11.4.10»")</f>
        <v>«1С: Управление торговлей 11.4.10»</v>
      </c>
      <c r="B234" s="4" t="str">
        <f ca="1">IFERROR(__xludf.DUMMYFUNCTION("""COMPUTED_VALUE"""),"ПРОДУКТОВЫЙ, РАСШИРЕННЫЙ")</f>
        <v>ПРОДУКТОВЫЙ, РАСШИРЕННЫЙ</v>
      </c>
      <c r="C234" s="4" t="str">
        <f ca="1">IFERROR(__xludf.DUMMYFUNCTION("""COMPUTED_VALUE"""),"RTL15BG-1CUT114")</f>
        <v>RTL15BG-1CUT114</v>
      </c>
      <c r="D234" s="4" t="str">
        <f ca="1">IFERROR(__xludf.DUMMYFUNCTION("""COMPUTED_VALUE"""),"Mobile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об"&amp;"мен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4" s="4" t="str">
        <f ca="1">IFERROR(__xludf.DUMMYFUNCTION("""COMPUTED_VALUE"""),"Mobile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</v>
      </c>
      <c r="F234" s="5">
        <f ca="1">IFERROR(__xludf.DUMMYFUNCTION("""COMPUTED_VALUE"""),20950)</f>
        <v>20950</v>
      </c>
    </row>
    <row r="235" spans="1:6" ht="86.25" customHeight="1" x14ac:dyDescent="0.2">
      <c r="A235" s="4" t="str">
        <f ca="1">IFERROR(__xludf.DUMMYFUNCTION("""COMPUTED_VALUE"""),"«1С: Управление торговлей 11.4.10»")</f>
        <v>«1С: Управление торговлей 11.4.10»</v>
      </c>
      <c r="B235" s="4" t="str">
        <f ca="1">IFERROR(__xludf.DUMMYFUNCTION("""COMPUTED_VALUE"""),"ПРОДУКТОВЫЙ, МЕГАМАРКЕТ")</f>
        <v>ПРОДУКТОВЫЙ, МЕГАМАРКЕТ</v>
      </c>
      <c r="C235" s="4" t="str">
        <f ca="1">IFERROR(__xludf.DUMMYFUNCTION("""COMPUTED_VALUE"""),"RTL15CG-1CUT114")</f>
        <v>RTL15CG-1CUT114</v>
      </c>
      <c r="D235" s="4" t="str">
        <f ca="1">IFERROR(__xludf.DUMMYFUNCTION("""COMPUTED_VALUE"""),"Mobile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зака"&amp;"за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5" s="4" t="str">
        <f ca="1">IFERROR(__xludf.DUMMYFUNCTION("""COMPUTED_VALUE"""),"Mobile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</v>
      </c>
      <c r="F235" s="5">
        <f ca="1">IFERROR(__xludf.DUMMYFUNCTION("""COMPUTED_VALUE"""),28250)</f>
        <v>28250</v>
      </c>
    </row>
    <row r="236" spans="1:6" ht="86.25" customHeight="1" x14ac:dyDescent="0.2">
      <c r="A236" s="4" t="str">
        <f ca="1">IFERROR(__xludf.DUMMYFUNCTION("""COMPUTED_VALUE"""),"«1С: Управление торговлей 11.5»")</f>
        <v>«1С: Управление торговлей 11.5»</v>
      </c>
      <c r="B236" s="4" t="str">
        <f ca="1">IFERROR(__xludf.DUMMYFUNCTION("""COMPUTED_VALUE"""),"МИНИМУМ")</f>
        <v>МИНИМУМ</v>
      </c>
      <c r="C236" s="4" t="str">
        <f ca="1">IFERROR(__xludf.DUMMYFUNCTION("""COMPUTED_VALUE"""),"RTL15M-1CUT115")</f>
        <v>RTL15M-1CUT115</v>
      </c>
      <c r="D236" s="4" t="str">
        <f ca="1">IFERROR(__xludf.DUMMYFUNCTION("""COMPUTED_VALUE"""),"Mobile SMARTS: Магазин 15, МИНИМУМ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н"&amp;"астройка,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"&amp;"год")</f>
        <v>Mobile SMARTS: Магазин 15, МИНИМУМ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36" s="4" t="str">
        <f ca="1">IFERROR(__xludf.DUMMYFUNCTION("""COMPUTED_VALUE"""),"Mobile SMARTS: Магазин 15, МИНИМУМ для «1С: Управление торговлей 11.5», для работы с товаром по штрихкодам ")</f>
        <v xml:space="preserve">Mobile SMARTS: Магазин 15, МИНИМУМ для «1С: Управление торговлей 11.5», для работы с товаром по штрихкодам </v>
      </c>
      <c r="F236" s="5">
        <f ca="1">IFERROR(__xludf.DUMMYFUNCTION("""COMPUTED_VALUE"""),3450)</f>
        <v>3450</v>
      </c>
    </row>
    <row r="237" spans="1:6" ht="86.25" customHeight="1" x14ac:dyDescent="0.2">
      <c r="A237" s="4" t="str">
        <f ca="1">IFERROR(__xludf.DUMMYFUNCTION("""COMPUTED_VALUE"""),"«1С: Управление торговлей 11.5»")</f>
        <v>«1С: Управление торговлей 11.5»</v>
      </c>
      <c r="B237" s="4" t="str">
        <f ca="1">IFERROR(__xludf.DUMMYFUNCTION("""COMPUTED_VALUE"""),"БАЗОВЫЙ")</f>
        <v>БАЗОВЫЙ</v>
      </c>
      <c r="C237" s="4" t="str">
        <f ca="1">IFERROR(__xludf.DUMMYFUNCTION("""COMPUTED_VALUE"""),"RTL15A-1CUT115")</f>
        <v>RTL15A-1CUT115</v>
      </c>
      <c r="D237" s="4" t="str">
        <f ca="1">IFERROR(__xludf.DUMMYFUNCTION("""COMPUTED_VALUE"""),"Mobile SMARTS: Магазин 15, БАЗОВЫЙ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7" s="4" t="str">
        <f ca="1">IFERROR(__xludf.DUMMYFUNCTION("""COMPUTED_VALUE"""),"Mobile SMARTS: Магазин 15, БАЗОВЫЙ для «1С: Управление торговлей 11.5», для работы с товаром по штрихкодам ")</f>
        <v xml:space="preserve">Mobile SMARTS: Магазин 15, БАЗОВЫЙ для «1С: Управление торговлей 11.5», для работы с товаром по штрихкодам </v>
      </c>
      <c r="F237" s="5">
        <f ca="1">IFERROR(__xludf.DUMMYFUNCTION("""COMPUTED_VALUE"""),8650)</f>
        <v>8650</v>
      </c>
    </row>
    <row r="238" spans="1:6" ht="86.25" customHeight="1" x14ac:dyDescent="0.2">
      <c r="A238" s="4" t="str">
        <f ca="1">IFERROR(__xludf.DUMMYFUNCTION("""COMPUTED_VALUE"""),"«1С: Управление торговлей 11.5»")</f>
        <v>«1С: Управление торговлей 11.5»</v>
      </c>
      <c r="B238" s="4" t="str">
        <f ca="1">IFERROR(__xludf.DUMMYFUNCTION("""COMPUTED_VALUE"""),"РАСШИРЕННЫЙ")</f>
        <v>РАСШИРЕННЫЙ</v>
      </c>
      <c r="C238" s="4" t="str">
        <f ca="1">IFERROR(__xludf.DUMMYFUNCTION("""COMPUTED_VALUE"""),"RTL15B-1CUT115")</f>
        <v>RTL15B-1CUT115</v>
      </c>
      <c r="D238" s="4" t="str">
        <f ca="1">IFERROR(__xludf.DUMMYFUNCTION("""COMPUTED_VALUE"""),"Mobile SMARTS: Магазин 15, РАСШИРЕННЫЙ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8" s="4" t="str">
        <f ca="1">IFERROR(__xludf.DUMMYFUNCTION("""COMPUTED_VALUE"""),"Mobile SMARTS: Магазин 15, РАСШИРЕННЫЙ для «1С: Управление торговлей 11.5», для работы с товаром по штрихкодам ")</f>
        <v xml:space="preserve">Mobile SMARTS: Магазин 15, РАСШИРЕННЫЙ для «1С: Управление торговлей 11.5», для работы с товаром по штрихкодам </v>
      </c>
      <c r="F238" s="5">
        <f ca="1">IFERROR(__xludf.DUMMYFUNCTION("""COMPUTED_VALUE"""),15050)</f>
        <v>15050</v>
      </c>
    </row>
    <row r="239" spans="1:6" ht="86.25" customHeight="1" x14ac:dyDescent="0.2">
      <c r="A239" s="4" t="str">
        <f ca="1">IFERROR(__xludf.DUMMYFUNCTION("""COMPUTED_VALUE"""),"«1С: Управление торговлей 11.5»")</f>
        <v>«1С: Управление торговлей 11.5»</v>
      </c>
      <c r="B239" s="4" t="str">
        <f ca="1">IFERROR(__xludf.DUMMYFUNCTION("""COMPUTED_VALUE"""),"МЕГАМАРКЕТ")</f>
        <v>МЕГАМАРКЕТ</v>
      </c>
      <c r="C239" s="4" t="str">
        <f ca="1">IFERROR(__xludf.DUMMYFUNCTION("""COMPUTED_VALUE"""),"RTL15C-1CUT115")</f>
        <v>RTL15C-1CUT115</v>
      </c>
      <c r="D239" s="4" t="str">
        <f ca="1">IFERROR(__xludf.DUMMYFUNCTION("""COMPUTED_VALUE"""),"Mobile SMARTS: Магазин 15, МЕГАМАРКЕТ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9" s="4" t="str">
        <f ca="1">IFERROR(__xludf.DUMMYFUNCTION("""COMPUTED_VALUE"""),"Mobile SMARTS: Магазин 15, МЕГАМАРКЕТ для «1С: Управление торговлей 11.5», для работы с товаром по штрихкодам ")</f>
        <v xml:space="preserve">Mobile SMARTS: Магазин 15, МЕГАМАРКЕТ для «1С: Управление торговлей 11.5», для работы с товаром по штрихкодам </v>
      </c>
      <c r="F239" s="5">
        <f ca="1">IFERROR(__xludf.DUMMYFUNCTION("""COMPUTED_VALUE"""),21550)</f>
        <v>21550</v>
      </c>
    </row>
    <row r="240" spans="1:6" ht="86.25" customHeight="1" x14ac:dyDescent="0.2">
      <c r="A240" s="4" t="str">
        <f ca="1">IFERROR(__xludf.DUMMYFUNCTION("""COMPUTED_VALUE"""),"«1С: Управление торговлей 11.5»")</f>
        <v>«1С: Управление торговлей 11.5»</v>
      </c>
      <c r="B240" s="4" t="str">
        <f ca="1">IFERROR(__xludf.DUMMYFUNCTION("""COMPUTED_VALUE"""),"с ЕГАИС, БАЗОВЫЙ")</f>
        <v>с ЕГАИС, БАЗОВЫЙ</v>
      </c>
      <c r="C240" s="4" t="str">
        <f ca="1">IFERROR(__xludf.DUMMYFUNCTION("""COMPUTED_VALUE"""),"RTL15AE-1CUT115")</f>
        <v>RTL15AE-1CUT115</v>
      </c>
      <c r="D240" s="4" t="str">
        <f ca="1">IFERROR(__xludf.DUMMYFUNCTION("""COMPUTED_VALUE"""),"Mobile SMARTS: Магазин 15 с ЕГАИС, БАЗОВЫЙ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"&amp;"алкоголя,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информация"&amp;"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40" s="4" t="str">
        <f ca="1">IFERROR(__xludf.DUMMYFUNCTION("""COMPUTED_VALUE"""),"Mobile SMARTS: Магазин 15 с ЕГАИС, БАЗОВЫЙ для «1С: Управление торговлей 11.5», для работы с маркированным товаром: алкоголь ЕГАИС и товары по штрихкодам ")</f>
        <v xml:space="preserve">Mobile SMARTS: Магазин 15 с ЕГАИС, БАЗОВЫЙ для «1С: Управление торговлей 11.5», для работы с маркированным товаром: алкоголь ЕГАИС и товары по штрихкодам </v>
      </c>
      <c r="F240" s="5">
        <f ca="1">IFERROR(__xludf.DUMMYFUNCTION("""COMPUTED_VALUE"""),11000)</f>
        <v>11000</v>
      </c>
    </row>
    <row r="241" spans="1:6" ht="86.25" customHeight="1" x14ac:dyDescent="0.2">
      <c r="A241" s="4" t="str">
        <f ca="1">IFERROR(__xludf.DUMMYFUNCTION("""COMPUTED_VALUE"""),"«1С: Управление торговлей 11.5»")</f>
        <v>«1С: Управление торговлей 11.5»</v>
      </c>
      <c r="B241" s="4" t="str">
        <f ca="1">IFERROR(__xludf.DUMMYFUNCTION("""COMPUTED_VALUE"""),"с ЕГАИС, РАСШИРЕННЫЙ")</f>
        <v>с ЕГАИС, РАСШИРЕННЫЙ</v>
      </c>
      <c r="C241" s="4" t="str">
        <f ca="1">IFERROR(__xludf.DUMMYFUNCTION("""COMPUTED_VALUE"""),"RTL15BE-1CUT115")</f>
        <v>RTL15BE-1CUT115</v>
      </c>
      <c r="D241" s="4" t="str">
        <f ca="1">IFERROR(__xludf.DUMMYFUNCTION("""COMPUTED_VALUE"""),"Mobile SMARTS: Магазин 15 с ЕГАИС, РАСШИРЕННЫЙ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1" s="4" t="str">
        <f ca="1">IFERROR(__xludf.DUMMYFUNCTION("""COMPUTED_VALUE"""),"Mobile SMARTS: Магазин 15 с ЕГАИС, РАСШИРЕННЫЙ для «1С: Управление торговлей 11.5», для работы с маркированным товаром: алкоголь ЕГАИС и товары по штрихкодам ")</f>
        <v xml:space="preserve">Mobile SMARTS: Магазин 15 с ЕГАИС, РАСШИРЕННЫЙ для «1С: Управление торговлей 11.5», для работы с маркированным товаром: алкоголь ЕГАИС и товары по штрихкодам </v>
      </c>
      <c r="F241" s="5">
        <f ca="1">IFERROR(__xludf.DUMMYFUNCTION("""COMPUTED_VALUE"""),17450)</f>
        <v>17450</v>
      </c>
    </row>
    <row r="242" spans="1:6" ht="86.25" customHeight="1" x14ac:dyDescent="0.2">
      <c r="A242" s="4" t="str">
        <f ca="1">IFERROR(__xludf.DUMMYFUNCTION("""COMPUTED_VALUE"""),"«1С: Управление торговлей 11.5»")</f>
        <v>«1С: Управление торговлей 11.5»</v>
      </c>
      <c r="B242" s="4" t="str">
        <f ca="1">IFERROR(__xludf.DUMMYFUNCTION("""COMPUTED_VALUE"""),"с ЕГАИС (без CheckMark2), МЕГАМАРКЕТ")</f>
        <v>с ЕГАИС (без CheckMark2), МЕГАМАРКЕТ</v>
      </c>
      <c r="C242" s="4" t="str">
        <f ca="1">IFERROR(__xludf.DUMMYFUNCTION("""COMPUTED_VALUE"""),"RTL15CEV-1CUT115")</f>
        <v>RTL15CEV-1CUT115</v>
      </c>
      <c r="D242" s="4" t="str">
        <f ca="1">IFERROR(__xludf.DUMMYFUNCTION("""COMPUTED_VALUE"""),"Mobile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досту"&amp;"пные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работа"&amp;",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2" s="4" t="str">
        <f ca="1">IFERROR(__xludf.DUMMYFUNCTION("""COMPUTED_VALUE"""),"Mobile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")</f>
        <v xml:space="preserve">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</v>
      </c>
      <c r="F242" s="5">
        <f ca="1">IFERROR(__xludf.DUMMYFUNCTION("""COMPUTED_VALUE"""),23850)</f>
        <v>23850</v>
      </c>
    </row>
    <row r="243" spans="1:6" ht="86.25" customHeight="1" x14ac:dyDescent="0.2">
      <c r="A243" s="4" t="str">
        <f ca="1">IFERROR(__xludf.DUMMYFUNCTION("""COMPUTED_VALUE"""),"«1С: Управление торговлей 11.5»")</f>
        <v>«1С: Управление торговлей 11.5»</v>
      </c>
      <c r="B243" s="4" t="str">
        <f ca="1">IFERROR(__xludf.DUMMYFUNCTION("""COMPUTED_VALUE"""),"с МОТП, БАЗОВЫЙ")</f>
        <v>с МОТП, БАЗОВЫЙ</v>
      </c>
      <c r="C243" s="4" t="str">
        <f ca="1">IFERROR(__xludf.DUMMYFUNCTION("""COMPUTED_VALUE"""),"RTL15AT-1CUT115")</f>
        <v>RTL15AT-1CUT115</v>
      </c>
      <c r="D243" s="4" t="str">
        <f ca="1">IFERROR(__xludf.DUMMYFUNCTION("""COMPUTED_VALUE"""),"Mobile SMARTS: Магазин 15 с МОТП, БАЗОВЫЙ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"&amp;"т.ч.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3" s="4" t="str">
        <f ca="1">IFERROR(__xludf.DUMMYFUNCTION("""COMPUTED_VALUE"""),"Mobile SMARTS: Магазин 15 с МОТП, БАЗОВЫЙ для «1С: Управление торговлей 11.5», для работы с маркированным товаром: ТАБАК и товары по штрихкодам ")</f>
        <v xml:space="preserve">Mobile SMARTS: Магазин 15 с МОТП, БАЗОВЫЙ для «1С: Управление торговлей 11.5», для работы с маркированным товаром: ТАБАК и товары по штрихкодам </v>
      </c>
      <c r="F243" s="5">
        <f ca="1">IFERROR(__xludf.DUMMYFUNCTION("""COMPUTED_VALUE"""),11150)</f>
        <v>11150</v>
      </c>
    </row>
    <row r="244" spans="1:6" ht="86.25" customHeight="1" x14ac:dyDescent="0.2">
      <c r="A244" s="4" t="str">
        <f ca="1">IFERROR(__xludf.DUMMYFUNCTION("""COMPUTED_VALUE"""),"«1С: Управление торговлей 11.5»")</f>
        <v>«1С: Управление торговлей 11.5»</v>
      </c>
      <c r="B244" s="4" t="str">
        <f ca="1">IFERROR(__xludf.DUMMYFUNCTION("""COMPUTED_VALUE"""),"с МОТП, РАСШИРЕННЫЙ")</f>
        <v>с МОТП, РАСШИРЕННЫЙ</v>
      </c>
      <c r="C244" s="4" t="str">
        <f ca="1">IFERROR(__xludf.DUMMYFUNCTION("""COMPUTED_VALUE"""),"RTL15BT-1CUT115")</f>
        <v>RTL15BT-1CUT115</v>
      </c>
      <c r="D244" s="4" t="str">
        <f ca="1">IFERROR(__xludf.DUMMYFUNCTION("""COMPUTED_VALUE"""),"Mobile SMARTS: Магазин 15 с МОТП, РАСШИРЕННЫЙ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поступление"&amp;"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4" s="4" t="str">
        <f ca="1">IFERROR(__xludf.DUMMYFUNCTION("""COMPUTED_VALUE"""),"Mobile SMARTS: Магазин 15 с МОТП, РАСШИРЕННЫЙ для «1С: Управление торговлей 11.5», для работы с маркированным товаром: ТАБАК и товары по штрихкодам ")</f>
        <v xml:space="preserve">Mobile SMARTS: Магазин 15 с МОТП, РАСШИРЕННЫЙ для «1С: Управление торговлей 11.5», для работы с маркированным товаром: ТАБАК и товары по штрихкодам </v>
      </c>
      <c r="F244" s="5">
        <f ca="1">IFERROR(__xludf.DUMMYFUNCTION("""COMPUTED_VALUE"""),17450)</f>
        <v>17450</v>
      </c>
    </row>
    <row r="245" spans="1:6" ht="86.25" customHeight="1" x14ac:dyDescent="0.2">
      <c r="A245" s="4" t="str">
        <f ca="1">IFERROR(__xludf.DUMMYFUNCTION("""COMPUTED_VALUE"""),"«1С: Управление торговлей 11.5»")</f>
        <v>«1С: Управление торговлей 11.5»</v>
      </c>
      <c r="B245" s="4" t="str">
        <f ca="1">IFERROR(__xludf.DUMMYFUNCTION("""COMPUTED_VALUE"""),"с МОТП, МЕГАМАРКЕТ")</f>
        <v>с МОТП, МЕГАМАРКЕТ</v>
      </c>
      <c r="C245" s="4" t="str">
        <f ca="1">IFERROR(__xludf.DUMMYFUNCTION("""COMPUTED_VALUE"""),"RTL15CT-1CUT115")</f>
        <v>RTL15CT-1CUT115</v>
      </c>
      <c r="D245" s="4" t="str">
        <f ca="1">IFERROR(__xludf.DUMMYFUNCTION("""COMPUTED_VALUE"""),"Mobile SMARTS: Магазин 15 с МОТП, МЕГАМАРКЕТ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"&amp;"(в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коллективна"&amp;"я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Mobile SMARTS: Магазин 15 с МОТП, МЕГАМАРКЕТ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5" s="4" t="str">
        <f ca="1">IFERROR(__xludf.DUMMYFUNCTION("""COMPUTED_VALUE"""),"Mobile SMARTS: Магазин 15 с МОТП, МЕГАМАРКЕТ для «1С: Управление торговлей 11.5», для работы с маркированным товаром: ТАБАК и товары по штрихкодам ")</f>
        <v xml:space="preserve">Mobile SMARTS: Магазин 15 с МОТП, МЕГАМАРКЕТ для «1С: Управление торговлей 11.5», для работы с маркированным товаром: ТАБАК и товары по штрихкодам </v>
      </c>
      <c r="F245" s="5">
        <f ca="1">IFERROR(__xludf.DUMMYFUNCTION("""COMPUTED_VALUE"""),23850)</f>
        <v>23850</v>
      </c>
    </row>
    <row r="246" spans="1:6" ht="86.25" customHeight="1" x14ac:dyDescent="0.2">
      <c r="A246" s="4" t="str">
        <f ca="1">IFERROR(__xludf.DUMMYFUNCTION("""COMPUTED_VALUE"""),"«1С: Управление торговлей 11.5»")</f>
        <v>«1С: Управление торговлей 11.5»</v>
      </c>
      <c r="B246" s="4" t="str">
        <f ca="1">IFERROR(__xludf.DUMMYFUNCTION("""COMPUTED_VALUE"""),"с ЕГАИС и МОТП, БАЗОВЫЙ")</f>
        <v>с ЕГАИС и МОТП, БАЗОВЫЙ</v>
      </c>
      <c r="C246" s="4" t="str">
        <f ca="1">IFERROR(__xludf.DUMMYFUNCTION("""COMPUTED_VALUE"""),"RTL15AET-1CUT115")</f>
        <v>RTL15AET-1CUT115</v>
      </c>
      <c r="D246" s="4" t="str">
        <f ca="1">IFERROR(__xludf.DUMMYFUNCTION("""COMPUTED_VALUE"""),"Mobile SMARTS: Магазин 15 с ЕГАИС и МОТП, БАЗОВЫЙ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операци"&amp;"и: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штрих"&amp;"кодов,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воз"&amp;"можность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6" s="4" t="str">
        <f ca="1">IFERROR(__xludf.DUMMYFUNCTION("""COMPUTED_VALUE"""),"Mobile SMARTS: Магазин 15 с ЕГАИС и МОТП, БАЗОВЫЙ для «1С: Управление торговлей 11.5», для работы с маркированным товаром: АЛКОГОЛЬ, ТАБАК и товары по штрихкодам ")</f>
        <v xml:space="preserve">Mobile SMARTS: Магазин 15 с ЕГАИС и МОТП, БАЗОВЫЙ для «1С: Управление торговлей 11.5», для работы с маркированным товаром: АЛКОГОЛЬ, ТАБАК и товары по штрихкодам </v>
      </c>
      <c r="F246" s="5">
        <f ca="1">IFERROR(__xludf.DUMMYFUNCTION("""COMPUTED_VALUE"""),12150)</f>
        <v>12150</v>
      </c>
    </row>
    <row r="247" spans="1:6" ht="86.25" customHeight="1" x14ac:dyDescent="0.2">
      <c r="A247" s="4" t="str">
        <f ca="1">IFERROR(__xludf.DUMMYFUNCTION("""COMPUTED_VALUE"""),"«1С: Управление торговлей 11.5»")</f>
        <v>«1С: Управление торговлей 11.5»</v>
      </c>
      <c r="B247" s="4" t="str">
        <f ca="1">IFERROR(__xludf.DUMMYFUNCTION("""COMPUTED_VALUE"""),"с ЕГАИС и МОТП, РАСШИРЕННЫЙ")</f>
        <v>с ЕГАИС и МОТП, РАСШИРЕННЫЙ</v>
      </c>
      <c r="C247" s="4" t="str">
        <f ca="1">IFERROR(__xludf.DUMMYFUNCTION("""COMPUTED_VALUE"""),"RTL15BET-1CUT115")</f>
        <v>RTL15BET-1CUT115</v>
      </c>
      <c r="D247" s="4" t="str">
        <f ca="1">IFERROR(__xludf.DUMMYFUNCTION("""COMPUTED_VALUE"""),"Mobile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опе"&amp;"рации: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/"&amp;"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7" s="4" t="str">
        <f ca="1">IFERROR(__xludf.DUMMYFUNCTION("""COMPUTED_VALUE"""),"Mobile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")</f>
        <v xml:space="preserve">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</v>
      </c>
      <c r="F247" s="5">
        <f ca="1">IFERROR(__xludf.DUMMYFUNCTION("""COMPUTED_VALUE"""),18550)</f>
        <v>18550</v>
      </c>
    </row>
    <row r="248" spans="1:6" ht="86.25" customHeight="1" x14ac:dyDescent="0.2">
      <c r="A248" s="4" t="str">
        <f ca="1">IFERROR(__xludf.DUMMYFUNCTION("""COMPUTED_VALUE"""),"«1С: Управление торговлей 11.5»")</f>
        <v>«1С: Управление торговлей 11.5»</v>
      </c>
      <c r="B248" s="4" t="str">
        <f ca="1">IFERROR(__xludf.DUMMYFUNCTION("""COMPUTED_VALUE"""),"с ЕГАИС и МОТП, МЕГАМАРКЕТ")</f>
        <v>с ЕГАИС и МОТП, МЕГАМАРКЕТ</v>
      </c>
      <c r="C248" s="4" t="str">
        <f ca="1">IFERROR(__xludf.DUMMYFUNCTION("""COMPUTED_VALUE"""),"RTL15CET-1CUT115")</f>
        <v>RTL15CET-1CUT115</v>
      </c>
      <c r="D248" s="4" t="str">
        <f ca="1">IFERROR(__xludf.DUMMYFUNCTION("""COMPUTED_VALUE"""),"Mobile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опер"&amp;"ации: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сущ"&amp;"ествующих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8" s="4" t="str">
        <f ca="1">IFERROR(__xludf.DUMMYFUNCTION("""COMPUTED_VALUE"""),"Mobile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")</f>
        <v xml:space="preserve">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</v>
      </c>
      <c r="F248" s="5">
        <f ca="1">IFERROR(__xludf.DUMMYFUNCTION("""COMPUTED_VALUE"""),26350)</f>
        <v>26350</v>
      </c>
    </row>
    <row r="249" spans="1:6" ht="86.25" customHeight="1" x14ac:dyDescent="0.2">
      <c r="A249" s="4" t="str">
        <f ca="1">IFERROR(__xludf.DUMMYFUNCTION("""COMPUTED_VALUE"""),"«1С: Управление торговлей 11.5»")</f>
        <v>«1С: Управление торговлей 11.5»</v>
      </c>
      <c r="B249" s="4" t="str">
        <f ca="1">IFERROR(__xludf.DUMMYFUNCTION("""COMPUTED_VALUE"""),"ШМОТКИ, БАЗОВЫЙ")</f>
        <v>ШМОТКИ, БАЗОВЫЙ</v>
      </c>
      <c r="C249" s="4" t="str">
        <f ca="1">IFERROR(__xludf.DUMMYFUNCTION("""COMPUTED_VALUE"""),"RTL15AK-1CUT115")</f>
        <v>RTL15AK-1CUT115</v>
      </c>
      <c r="D249" s="4" t="str">
        <f ca="1">IFERROR(__xludf.DUMMYFUNCTION("""COMPUTED_VALUE"""),"Mobile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опе"&amp;"рации: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возмо"&amp;"жности: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(о"&amp;"дин) год")</f>
        <v>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9" s="4" t="str">
        <f ca="1">IFERROR(__xludf.DUMMYFUNCTION("""COMPUTED_VALUE"""),"Mobile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")</f>
        <v xml:space="preserve">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</v>
      </c>
      <c r="F249" s="5">
        <f ca="1">IFERROR(__xludf.DUMMYFUNCTION("""COMPUTED_VALUE"""),12150)</f>
        <v>12150</v>
      </c>
    </row>
    <row r="250" spans="1:6" ht="86.25" customHeight="1" x14ac:dyDescent="0.2">
      <c r="A250" s="4" t="str">
        <f ca="1">IFERROR(__xludf.DUMMYFUNCTION("""COMPUTED_VALUE"""),"«1С: Управление торговлей 11.5»")</f>
        <v>«1С: Управление торговлей 11.5»</v>
      </c>
      <c r="B250" s="4" t="str">
        <f ca="1">IFERROR(__xludf.DUMMYFUNCTION("""COMPUTED_VALUE"""),"ШМОТКИ, РАСШИРЕННЫЙ")</f>
        <v>ШМОТКИ, РАСШИРЕННЫЙ</v>
      </c>
      <c r="C250" s="4" t="str">
        <f ca="1">IFERROR(__xludf.DUMMYFUNCTION("""COMPUTED_VALUE"""),"RTL15BK-1CUT115")</f>
        <v>RTL15BK-1CUT115</v>
      </c>
      <c r="D250" s="4" t="str">
        <f ca="1">IFERROR(__xludf.DUMMYFUNCTION("""COMPUTED_VALUE"""),"Mobile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доступные"&amp;"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в"&amp;"озможности: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"&amp;"1 (один) год")</f>
        <v>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0" s="4" t="str">
        <f ca="1">IFERROR(__xludf.DUMMYFUNCTION("""COMPUTED_VALUE"""),"Mobile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")</f>
        <v xml:space="preserve">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</v>
      </c>
      <c r="F250" s="5">
        <f ca="1">IFERROR(__xludf.DUMMYFUNCTION("""COMPUTED_VALUE"""),18550)</f>
        <v>18550</v>
      </c>
    </row>
    <row r="251" spans="1:6" ht="86.25" customHeight="1" x14ac:dyDescent="0.2">
      <c r="A251" s="4" t="str">
        <f ca="1">IFERROR(__xludf.DUMMYFUNCTION("""COMPUTED_VALUE"""),"«1С: Управление торговлей 11.5»")</f>
        <v>«1С: Управление торговлей 11.5»</v>
      </c>
      <c r="B251" s="4" t="str">
        <f ca="1">IFERROR(__xludf.DUMMYFUNCTION("""COMPUTED_VALUE"""),"ШМОТКИ, МЕГАМАРКЕТ")</f>
        <v>ШМОТКИ, МЕГАМАРКЕТ</v>
      </c>
      <c r="C251" s="4" t="str">
        <f ca="1">IFERROR(__xludf.DUMMYFUNCTION("""COMPUTED_VALUE"""),"RTL15CK-1CUT115")</f>
        <v>RTL15CK-1CUT115</v>
      </c>
      <c r="D251" s="4" t="str">
        <f ca="1">IFERROR(__xludf.DUMMYFUNCTION("""COMPUTED_VALUE"""),"Mobile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во"&amp;"зможности: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обме"&amp;"н через Интернет на 1 (один) год")</f>
        <v>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1" s="4" t="str">
        <f ca="1">IFERROR(__xludf.DUMMYFUNCTION("""COMPUTED_VALUE"""),"Mobile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")</f>
        <v xml:space="preserve">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</v>
      </c>
      <c r="F251" s="5">
        <f ca="1">IFERROR(__xludf.DUMMYFUNCTION("""COMPUTED_VALUE"""),26350)</f>
        <v>26350</v>
      </c>
    </row>
    <row r="252" spans="1:6" ht="86.25" customHeight="1" x14ac:dyDescent="0.2">
      <c r="A252" s="4" t="str">
        <f ca="1">IFERROR(__xludf.DUMMYFUNCTION("""COMPUTED_VALUE"""),"«1С: Управление торговлей 11.5»")</f>
        <v>«1С: Управление торговлей 11.5»</v>
      </c>
      <c r="B252" s="4" t="str">
        <f ca="1">IFERROR(__xludf.DUMMYFUNCTION("""COMPUTED_VALUE"""),"ПРОДУКТОВЫЙ, БАЗОВЫЙ")</f>
        <v>ПРОДУКТОВЫЙ, БАЗОВЫЙ</v>
      </c>
      <c r="C252" s="4" t="str">
        <f ca="1">IFERROR(__xludf.DUMMYFUNCTION("""COMPUTED_VALUE"""),"RTL15AG-1CUT115")</f>
        <v>RTL15AG-1CUT115</v>
      </c>
      <c r="D252" s="4" t="str">
        <f ca="1">IFERROR(__xludf.DUMMYFUNCTION("""COMPUTED_VALUE"""),"Mobile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чер"&amp;"ез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"&amp;"т.ч.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2" s="4" t="str">
        <f ca="1">IFERROR(__xludf.DUMMYFUNCTION("""COMPUTED_VALUE"""),"Mobile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</v>
      </c>
      <c r="F252" s="5">
        <f ca="1">IFERROR(__xludf.DUMMYFUNCTION("""COMPUTED_VALUE"""),14550)</f>
        <v>14550</v>
      </c>
    </row>
    <row r="253" spans="1:6" ht="86.25" customHeight="1" x14ac:dyDescent="0.2">
      <c r="A253" s="4" t="str">
        <f ca="1">IFERROR(__xludf.DUMMYFUNCTION("""COMPUTED_VALUE"""),"«1С: Управление торговлей 11.5»")</f>
        <v>«1С: Управление торговлей 11.5»</v>
      </c>
      <c r="B253" s="4" t="str">
        <f ca="1">IFERROR(__xludf.DUMMYFUNCTION("""COMPUTED_VALUE"""),"ПРОДУКТОВЫЙ, РАСШИРЕННЫЙ")</f>
        <v>ПРОДУКТОВЫЙ, РАСШИРЕННЫЙ</v>
      </c>
      <c r="C253" s="4" t="str">
        <f ca="1">IFERROR(__xludf.DUMMYFUNCTION("""COMPUTED_VALUE"""),"RTL15BG-1CUT115")</f>
        <v>RTL15BG-1CUT115</v>
      </c>
      <c r="D253" s="4" t="str">
        <f ca="1">IFERROR(__xludf.DUMMYFUNCTION("""COMPUTED_VALUE"""),"Mobile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обмен"&amp;"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заказа"&amp;"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3" s="4" t="str">
        <f ca="1">IFERROR(__xludf.DUMMYFUNCTION("""COMPUTED_VALUE"""),"Mobile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</v>
      </c>
      <c r="F253" s="5">
        <f ca="1">IFERROR(__xludf.DUMMYFUNCTION("""COMPUTED_VALUE"""),20950)</f>
        <v>20950</v>
      </c>
    </row>
    <row r="254" spans="1:6" ht="86.25" customHeight="1" x14ac:dyDescent="0.2">
      <c r="A254" s="4" t="str">
        <f ca="1">IFERROR(__xludf.DUMMYFUNCTION("""COMPUTED_VALUE"""),"«1С: Управление торговлей 11.5»")</f>
        <v>«1С: Управление торговлей 11.5»</v>
      </c>
      <c r="B254" s="4" t="str">
        <f ca="1">IFERROR(__xludf.DUMMYFUNCTION("""COMPUTED_VALUE"""),"ПРОДУКТОВЫЙ, МЕГАМАРКЕТ")</f>
        <v>ПРОДУКТОВЫЙ, МЕГАМАРКЕТ</v>
      </c>
      <c r="C254" s="4" t="str">
        <f ca="1">IFERROR(__xludf.DUMMYFUNCTION("""COMPUTED_VALUE"""),"RTL15CG-1CUT115")</f>
        <v>RTL15CG-1CUT115</v>
      </c>
      <c r="D254" s="4" t="str">
        <f ca="1">IFERROR(__xludf.DUMMYFUNCTION("""COMPUTED_VALUE"""),"Mobile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"&amp;"через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контрагента"&amp;"х,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4" s="4" t="str">
        <f ca="1">IFERROR(__xludf.DUMMYFUNCTION("""COMPUTED_VALUE"""),"Mobile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</v>
      </c>
      <c r="F254" s="5">
        <f ca="1">IFERROR(__xludf.DUMMYFUNCTION("""COMPUTED_VALUE"""),28250)</f>
        <v>28250</v>
      </c>
    </row>
    <row r="255" spans="1:6" ht="86.25" customHeight="1" x14ac:dyDescent="0.2">
      <c r="A255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5" s="4" t="str">
        <f ca="1">IFERROR(__xludf.DUMMYFUNCTION("""COMPUTED_VALUE"""),"МИНИМУМ")</f>
        <v>МИНИМУМ</v>
      </c>
      <c r="C255" s="4" t="str">
        <f ca="1">IFERROR(__xludf.DUMMYFUNCTION("""COMPUTED_VALUE"""),"RTL15M-1CUTKZ22")</f>
        <v>RTL15M-1CUTKZ22</v>
      </c>
      <c r="D255" s="4" t="str">
        <f ca="1">IFERROR(__xludf.DUMMYFUNCTION("""COMPUTED_VALUE"""),"Mobile SMARTS: Магазин 15, МИНИМУМ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просм"&amp;"отр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Интерне"&amp;"т на 1 (один) год")</f>
        <v>Mobile SMARTS: Магазин 15, МИНИМУМ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55" s="4" t="str">
        <f ca="1">IFERROR(__xludf.DUMMYFUNCTION("""COMPUTED_VALUE"""),"Mobile SMARTS: Магазин 15, МИНИМУМ для «1С: Управление торговлей для Казахстана 2.2», для работы с товаром по штрихкодам ")</f>
        <v xml:space="preserve">Mobile SMARTS: Магазин 15, МИНИМУМ для «1С: Управление торговлей для Казахстана 2.2», для работы с товаром по штрихкодам </v>
      </c>
      <c r="F255" s="5">
        <f ca="1">IFERROR(__xludf.DUMMYFUNCTION("""COMPUTED_VALUE"""),3450)</f>
        <v>3450</v>
      </c>
    </row>
    <row r="256" spans="1:6" ht="86.25" customHeight="1" x14ac:dyDescent="0.2">
      <c r="A256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6" s="4" t="str">
        <f ca="1">IFERROR(__xludf.DUMMYFUNCTION("""COMPUTED_VALUE"""),"БАЗОВЫЙ")</f>
        <v>БАЗОВЫЙ</v>
      </c>
      <c r="C256" s="4" t="str">
        <f ca="1">IFERROR(__xludf.DUMMYFUNCTION("""COMPUTED_VALUE"""),"RTL15A-1CUTKZ22")</f>
        <v>RTL15A-1CUTKZ22</v>
      </c>
      <c r="D256" s="4" t="str">
        <f ca="1">IFERROR(__xludf.DUMMYFUNCTION("""COMPUTED_VALUE"""),"Mobile SMARTS: Магазин 15, БАЗОВЫЙ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изменени"&amp;"е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6" s="4" t="str">
        <f ca="1">IFERROR(__xludf.DUMMYFUNCTION("""COMPUTED_VALUE"""),"Mobile SMARTS: Магазин 15, БАЗОВЫЙ для «1С: Управление торговлей для Казахстана 2.2», для работы с товаром по штрихкодам ")</f>
        <v xml:space="preserve">Mobile SMARTS: Магазин 15, БАЗОВЫЙ для «1С: Управление торговлей для Казахстана 2.2», для работы с товаром по штрихкодам </v>
      </c>
      <c r="F256" s="5">
        <f ca="1">IFERROR(__xludf.DUMMYFUNCTION("""COMPUTED_VALUE"""),8650)</f>
        <v>8650</v>
      </c>
    </row>
    <row r="257" spans="1:6" ht="86.25" customHeight="1" x14ac:dyDescent="0.2">
      <c r="A257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7" s="4" t="str">
        <f ca="1">IFERROR(__xludf.DUMMYFUNCTION("""COMPUTED_VALUE"""),"РАСШИРЕННЫЙ")</f>
        <v>РАСШИРЕННЫЙ</v>
      </c>
      <c r="C257" s="4" t="str">
        <f ca="1">IFERROR(__xludf.DUMMYFUNCTION("""COMPUTED_VALUE"""),"RTL15B-1CUTKZ22")</f>
        <v>RTL15B-1CUTKZ22</v>
      </c>
      <c r="D257" s="4" t="str">
        <f ca="1">IFERROR(__xludf.DUMMYFUNCTION("""COMPUTED_VALUE"""),"Mobile SMARTS: Магазин 15, РАСШИРЕННЫЙ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7" s="4" t="str">
        <f ca="1">IFERROR(__xludf.DUMMYFUNCTION("""COMPUTED_VALUE"""),"Mobile SMARTS: Магазин 15, РАСШИРЕННЫЙ для «1С: Управление торговлей для Казахстана 2.2», для работы с товаром по штрихкодам ")</f>
        <v xml:space="preserve">Mobile SMARTS: Магазин 15, РАСШИРЕННЫЙ для «1С: Управление торговлей для Казахстана 2.2», для работы с товаром по штрихкодам </v>
      </c>
      <c r="F257" s="5">
        <f ca="1">IFERROR(__xludf.DUMMYFUNCTION("""COMPUTED_VALUE"""),15050)</f>
        <v>15050</v>
      </c>
    </row>
    <row r="258" spans="1:6" ht="86.25" customHeight="1" x14ac:dyDescent="0.2">
      <c r="A258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8" s="4" t="str">
        <f ca="1">IFERROR(__xludf.DUMMYFUNCTION("""COMPUTED_VALUE"""),"МЕГАМАРКЕТ")</f>
        <v>МЕГАМАРКЕТ</v>
      </c>
      <c r="C258" s="4" t="str">
        <f ca="1">IFERROR(__xludf.DUMMYFUNCTION("""COMPUTED_VALUE"""),"RTL15C-1CUTKZ22")</f>
        <v>RTL15C-1CUTKZ22</v>
      </c>
      <c r="D258" s="4" t="str">
        <f ca="1">IFERROR(__xludf.DUMMYFUNCTION("""COMPUTED_VALUE"""),"Mobile SMARTS: Магазин 15, МЕГАМАРКЕТ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8" s="4" t="str">
        <f ca="1">IFERROR(__xludf.DUMMYFUNCTION("""COMPUTED_VALUE"""),"Mobile SMARTS: Магазин 15, МЕГАМАРКЕТ для «1С: Управление торговлей для Казахстана 2.2», для работы с товаром по штрихкодам ")</f>
        <v xml:space="preserve">Mobile SMARTS: Магазин 15, МЕГАМАРКЕТ для «1С: Управление торговлей для Казахстана 2.2», для работы с товаром по штрихкодам </v>
      </c>
      <c r="F258" s="5">
        <f ca="1">IFERROR(__xludf.DUMMYFUNCTION("""COMPUTED_VALUE"""),21550)</f>
        <v>21550</v>
      </c>
    </row>
    <row r="259" spans="1:6" ht="86.25" customHeight="1" x14ac:dyDescent="0.2">
      <c r="A259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59" s="4" t="str">
        <f ca="1">IFERROR(__xludf.DUMMYFUNCTION("""COMPUTED_VALUE"""),"МИНИМУМ")</f>
        <v>МИНИМУМ</v>
      </c>
      <c r="C259" s="4" t="str">
        <f ca="1">IFERROR(__xludf.DUMMYFUNCTION("""COMPUTED_VALUE"""),"RTL15M-1CUTKZ32")</f>
        <v>RTL15M-1CUTKZ32</v>
      </c>
      <c r="D259" s="4" t="str">
        <f ca="1">IFERROR(__xludf.DUMMYFUNCTION("""COMPUTED_VALUE"""),"Mobile SMARTS: Магазин 15, МИНИМУМ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просм"&amp;"отр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Интерне"&amp;"т на 1 (один) год")</f>
        <v>Mobile SMARTS: Магазин 15, МИНИМУМ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59" s="4" t="str">
        <f ca="1">IFERROR(__xludf.DUMMYFUNCTION("""COMPUTED_VALUE"""),"Mobile SMARTS: Магазин 15, МИНИМУМ для «1С: Управление торговлей для Казахстана 3.2», для работы с товаром по штрихкодам ")</f>
        <v xml:space="preserve">Mobile SMARTS: Магазин 15, МИНИМУМ для «1С: Управление торговлей для Казахстана 3.2», для работы с товаром по штрихкодам </v>
      </c>
      <c r="F259" s="5">
        <f ca="1">IFERROR(__xludf.DUMMYFUNCTION("""COMPUTED_VALUE"""),3450)</f>
        <v>3450</v>
      </c>
    </row>
    <row r="260" spans="1:6" ht="86.25" customHeight="1" x14ac:dyDescent="0.2">
      <c r="A260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60" s="4" t="str">
        <f ca="1">IFERROR(__xludf.DUMMYFUNCTION("""COMPUTED_VALUE"""),"БАЗОВЫЙ")</f>
        <v>БАЗОВЫЙ</v>
      </c>
      <c r="C260" s="4" t="str">
        <f ca="1">IFERROR(__xludf.DUMMYFUNCTION("""COMPUTED_VALUE"""),"RTL15A-1CUTKZ32")</f>
        <v>RTL15A-1CUTKZ32</v>
      </c>
      <c r="D260" s="4" t="str">
        <f ca="1">IFERROR(__xludf.DUMMYFUNCTION("""COMPUTED_VALUE"""),"Mobile SMARTS: Магазин 15, БАЗОВЫЙ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изменени"&amp;"е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0" s="4" t="str">
        <f ca="1">IFERROR(__xludf.DUMMYFUNCTION("""COMPUTED_VALUE"""),"Mobile SMARTS: Магазин 15, БАЗОВЫЙ для «1С: Управление торговлей для Казахстана 3.2», для работы с товаром по штрихкодам ")</f>
        <v xml:space="preserve">Mobile SMARTS: Магазин 15, БАЗОВЫЙ для «1С: Управление торговлей для Казахстана 3.2», для работы с товаром по штрихкодам </v>
      </c>
      <c r="F260" s="5">
        <f ca="1">IFERROR(__xludf.DUMMYFUNCTION("""COMPUTED_VALUE"""),8650)</f>
        <v>8650</v>
      </c>
    </row>
    <row r="261" spans="1:6" ht="86.25" customHeight="1" x14ac:dyDescent="0.2">
      <c r="A261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61" s="4" t="str">
        <f ca="1">IFERROR(__xludf.DUMMYFUNCTION("""COMPUTED_VALUE"""),"РАСШИРЕННЫЙ")</f>
        <v>РАСШИРЕННЫЙ</v>
      </c>
      <c r="C261" s="4" t="str">
        <f ca="1">IFERROR(__xludf.DUMMYFUNCTION("""COMPUTED_VALUE"""),"RTL15B-1CUTKZ32")</f>
        <v>RTL15B-1CUTKZ32</v>
      </c>
      <c r="D261" s="4" t="str">
        <f ca="1">IFERROR(__xludf.DUMMYFUNCTION("""COMPUTED_VALUE"""),"Mobile SMARTS: Магазин 15, РАСШИРЕННЫЙ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1" s="4" t="str">
        <f ca="1">IFERROR(__xludf.DUMMYFUNCTION("""COMPUTED_VALUE"""),"Mobile SMARTS: Магазин 15, РАСШИРЕННЫЙ для «1С: Управление торговлей для Казахстана 3.2», для работы с товаром по штрихкодам ")</f>
        <v xml:space="preserve">Mobile SMARTS: Магазин 15, РАСШИРЕННЫЙ для «1С: Управление торговлей для Казахстана 3.2», для работы с товаром по штрихкодам </v>
      </c>
      <c r="F261" s="5">
        <f ca="1">IFERROR(__xludf.DUMMYFUNCTION("""COMPUTED_VALUE"""),15050)</f>
        <v>15050</v>
      </c>
    </row>
    <row r="262" spans="1:6" ht="86.25" customHeight="1" x14ac:dyDescent="0.2">
      <c r="A262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62" s="4" t="str">
        <f ca="1">IFERROR(__xludf.DUMMYFUNCTION("""COMPUTED_VALUE"""),"МЕГАМАРКЕТ")</f>
        <v>МЕГАМАРКЕТ</v>
      </c>
      <c r="C262" s="4" t="str">
        <f ca="1">IFERROR(__xludf.DUMMYFUNCTION("""COMPUTED_VALUE"""),"RTL15C-1CUTKZ32")</f>
        <v>RTL15C-1CUTKZ32</v>
      </c>
      <c r="D262" s="4" t="str">
        <f ca="1">IFERROR(__xludf.DUMMYFUNCTION("""COMPUTED_VALUE"""),"Mobile SMARTS: Магазин 15, МЕГАМАРКЕТ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2" s="4" t="str">
        <f ca="1">IFERROR(__xludf.DUMMYFUNCTION("""COMPUTED_VALUE"""),"Mobile SMARTS: Магазин 15, МЕГАМАРКЕТ для «1С: Управление торговлей для Казахстана 3.2», для работы с товаром по штрихкодам ")</f>
        <v xml:space="preserve">Mobile SMARTS: Магазин 15, МЕГАМАРКЕТ для «1С: Управление торговлей для Казахстана 3.2», для работы с товаром по штрихкодам </v>
      </c>
      <c r="F262" s="5">
        <f ca="1">IFERROR(__xludf.DUMMYFUNCTION("""COMPUTED_VALUE"""),21550)</f>
        <v>21550</v>
      </c>
    </row>
    <row r="263" spans="1:6" ht="86.25" customHeight="1" x14ac:dyDescent="0.2">
      <c r="A263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3" s="4" t="str">
        <f ca="1">IFERROR(__xludf.DUMMYFUNCTION("""COMPUTED_VALUE"""),"МИНИМУМ")</f>
        <v>МИНИМУМ</v>
      </c>
      <c r="C263" s="4" t="str">
        <f ca="1">IFERROR(__xludf.DUMMYFUNCTION("""COMPUTED_VALUE"""),"RTL15M-1CUTKZ34")</f>
        <v>RTL15M-1CUTKZ34</v>
      </c>
      <c r="D263" s="4" t="str">
        <f ca="1">IFERROR(__xludf.DUMMYFUNCTION("""COMPUTED_VALUE"""),"Mobile SMARTS: Магазин 15, МИНИМУМ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просм"&amp;"отр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Интерне"&amp;"т на 1 (один) год")</f>
        <v>Mobile SMARTS: Магазин 15, МИНИМУМ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63" s="4" t="str">
        <f ca="1">IFERROR(__xludf.DUMMYFUNCTION("""COMPUTED_VALUE"""),"Mobile SMARTS: Магазин 15, МИНИМУМ для «1С: Управление торговлей для Казахстана 3.4», для работы с товаром по штрихкодам ")</f>
        <v xml:space="preserve">Mobile SMARTS: Магазин 15, МИНИМУМ для «1С: Управление торговлей для Казахстана 3.4», для работы с товаром по штрихкодам </v>
      </c>
      <c r="F263" s="5">
        <f ca="1">IFERROR(__xludf.DUMMYFUNCTION("""COMPUTED_VALUE"""),3450)</f>
        <v>3450</v>
      </c>
    </row>
    <row r="264" spans="1:6" ht="86.25" customHeight="1" x14ac:dyDescent="0.2">
      <c r="A264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4" s="4" t="str">
        <f ca="1">IFERROR(__xludf.DUMMYFUNCTION("""COMPUTED_VALUE"""),"БАЗОВЫЙ")</f>
        <v>БАЗОВЫЙ</v>
      </c>
      <c r="C264" s="4" t="str">
        <f ca="1">IFERROR(__xludf.DUMMYFUNCTION("""COMPUTED_VALUE"""),"RTL15A-1CUTKZ34")</f>
        <v>RTL15A-1CUTKZ34</v>
      </c>
      <c r="D264" s="4" t="str">
        <f ca="1">IFERROR(__xludf.DUMMYFUNCTION("""COMPUTED_VALUE"""),"Mobile SMARTS: Магазин 15, БАЗОВЫЙ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изменени"&amp;"е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4" s="4" t="str">
        <f ca="1">IFERROR(__xludf.DUMMYFUNCTION("""COMPUTED_VALUE"""),"Mobile SMARTS: Магазин 15, БАЗОВЫЙ для «1С: Управление торговлей для Казахстана 3.4», для работы с товаром по штрихкодам ")</f>
        <v xml:space="preserve">Mobile SMARTS: Магазин 15, БАЗОВЫЙ для «1С: Управление торговлей для Казахстана 3.4», для работы с товаром по штрихкодам </v>
      </c>
      <c r="F264" s="5">
        <f ca="1">IFERROR(__xludf.DUMMYFUNCTION("""COMPUTED_VALUE"""),8650)</f>
        <v>8650</v>
      </c>
    </row>
    <row r="265" spans="1:6" ht="86.25" customHeight="1" x14ac:dyDescent="0.2">
      <c r="A265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5" s="4" t="str">
        <f ca="1">IFERROR(__xludf.DUMMYFUNCTION("""COMPUTED_VALUE"""),"РАСШИРЕННЫЙ")</f>
        <v>РАСШИРЕННЫЙ</v>
      </c>
      <c r="C265" s="4" t="str">
        <f ca="1">IFERROR(__xludf.DUMMYFUNCTION("""COMPUTED_VALUE"""),"RTL15B-1CUTKZ34")</f>
        <v>RTL15B-1CUTKZ34</v>
      </c>
      <c r="D265" s="4" t="str">
        <f ca="1">IFERROR(__xludf.DUMMYFUNCTION("""COMPUTED_VALUE"""),"Mobile SMARTS: Магазин 15, РАСШИРЕННЫЙ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5" s="4" t="str">
        <f ca="1">IFERROR(__xludf.DUMMYFUNCTION("""COMPUTED_VALUE"""),"Mobile SMARTS: Магазин 15, РАСШИРЕННЫЙ для «1С: Управление торговлей для Казахстана 3.4», для работы с товаром по штрихкодам ")</f>
        <v xml:space="preserve">Mobile SMARTS: Магазин 15, РАСШИРЕННЫЙ для «1С: Управление торговлей для Казахстана 3.4», для работы с товаром по штрихкодам </v>
      </c>
      <c r="F265" s="5">
        <f ca="1">IFERROR(__xludf.DUMMYFUNCTION("""COMPUTED_VALUE"""),15050)</f>
        <v>15050</v>
      </c>
    </row>
    <row r="266" spans="1:6" ht="86.25" customHeight="1" x14ac:dyDescent="0.2">
      <c r="A266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6" s="4" t="str">
        <f ca="1">IFERROR(__xludf.DUMMYFUNCTION("""COMPUTED_VALUE"""),"МЕГАМАРКЕТ")</f>
        <v>МЕГАМАРКЕТ</v>
      </c>
      <c r="C266" s="4" t="str">
        <f ca="1">IFERROR(__xludf.DUMMYFUNCTION("""COMPUTED_VALUE"""),"RTL15C-1CUTKZ34")</f>
        <v>RTL15C-1CUTKZ34</v>
      </c>
      <c r="D266" s="4" t="str">
        <f ca="1">IFERROR(__xludf.DUMMYFUNCTION("""COMPUTED_VALUE"""),"Mobile SMARTS: Магазин 15, МЕГАМАРКЕТ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6" s="4" t="str">
        <f ca="1">IFERROR(__xludf.DUMMYFUNCTION("""COMPUTED_VALUE"""),"Mobile SMARTS: Магазин 15, МЕГАМАРКЕТ для «1С: Управление торговлей для Казахстана 3.4», для работы с товаром по штрихкодам ")</f>
        <v xml:space="preserve">Mobile SMARTS: Магазин 15, МЕГАМАРКЕТ для «1С: Управление торговлей для Казахстана 3.4», для работы с товаром по штрихкодам </v>
      </c>
      <c r="F266" s="5">
        <f ca="1">IFERROR(__xludf.DUMMYFUNCTION("""COMPUTED_VALUE"""),21550)</f>
        <v>21550</v>
      </c>
    </row>
    <row r="267" spans="1:6" ht="86.25" customHeight="1" x14ac:dyDescent="0.2">
      <c r="A267" s="4" t="str">
        <f ca="1">IFERROR(__xludf.DUMMYFUNCTION("""COMPUTED_VALUE"""),"«1С: Розница для Казахстана 2.0»")</f>
        <v>«1С: Розница для Казахстана 2.0»</v>
      </c>
      <c r="B267" s="4" t="str">
        <f ca="1">IFERROR(__xludf.DUMMYFUNCTION("""COMPUTED_VALUE"""),"МИНИМУМ")</f>
        <v>МИНИМУМ</v>
      </c>
      <c r="C267" s="4" t="str">
        <f ca="1">IFERROR(__xludf.DUMMYFUNCTION("""COMPUTED_VALUE"""),"RTL15M-1CRZKZ20")</f>
        <v>RTL15M-1CRZKZ20</v>
      </c>
      <c r="D267" s="4" t="str">
        <f ca="1">IFERROR(__xludf.DUMMYFUNCTION("""COMPUTED_VALUE"""),"Mobile SMARTS: Магазин 15, МИНИМУМ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"&amp;"настройка,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(один)"&amp;" год")</f>
        <v>Mobile SMARTS: Магазин 15, МИНИМУМ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67" s="4" t="str">
        <f ca="1">IFERROR(__xludf.DUMMYFUNCTION("""COMPUTED_VALUE"""),"Mobile SMARTS: Магазин 15, МИНИМУМ для «1С: Розница для Казахстана 2.0», для работы с товаром по штрихкодам ")</f>
        <v xml:space="preserve">Mobile SMARTS: Магазин 15, МИНИМУМ для «1С: Розница для Казахстана 2.0», для работы с товаром по штрихкодам </v>
      </c>
      <c r="F267" s="5">
        <f ca="1">IFERROR(__xludf.DUMMYFUNCTION("""COMPUTED_VALUE"""),3450)</f>
        <v>3450</v>
      </c>
    </row>
    <row r="268" spans="1:6" ht="86.25" customHeight="1" x14ac:dyDescent="0.2">
      <c r="A268" s="4" t="str">
        <f ca="1">IFERROR(__xludf.DUMMYFUNCTION("""COMPUTED_VALUE"""),"«1С: Розница для Казахстана 2.0»")</f>
        <v>«1С: Розница для Казахстана 2.0»</v>
      </c>
      <c r="B268" s="4" t="str">
        <f ca="1">IFERROR(__xludf.DUMMYFUNCTION("""COMPUTED_VALUE"""),"БАЗОВЫЙ")</f>
        <v>БАЗОВЫЙ</v>
      </c>
      <c r="C268" s="4" t="str">
        <f ca="1">IFERROR(__xludf.DUMMYFUNCTION("""COMPUTED_VALUE"""),"RTL15A-1CRZKZ20")</f>
        <v>RTL15A-1CRZKZ20</v>
      </c>
      <c r="D268" s="4" t="str">
        <f ca="1">IFERROR(__xludf.DUMMYFUNCTION("""COMPUTED_VALUE"""),"Mobile SMARTS: Магазин 15, БАЗОВЫЙ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п"&amp;"ечатью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существующи"&amp;"х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8" s="4" t="str">
        <f ca="1">IFERROR(__xludf.DUMMYFUNCTION("""COMPUTED_VALUE"""),"Mobile SMARTS: Магазин 15, БАЗОВЫЙ для «1С: Розница для Казахстана 2.0», для работы с товаром по штрихкодам ")</f>
        <v xml:space="preserve">Mobile SMARTS: Магазин 15, БАЗОВЫЙ для «1С: Розница для Казахстана 2.0», для работы с товаром по штрихкодам </v>
      </c>
      <c r="F268" s="5">
        <f ca="1">IFERROR(__xludf.DUMMYFUNCTION("""COMPUTED_VALUE"""),8650)</f>
        <v>8650</v>
      </c>
    </row>
    <row r="269" spans="1:6" ht="86.25" customHeight="1" x14ac:dyDescent="0.2">
      <c r="A269" s="4" t="str">
        <f ca="1">IFERROR(__xludf.DUMMYFUNCTION("""COMPUTED_VALUE"""),"«1С: Розница для Казахстана 2.0»")</f>
        <v>«1С: Розница для Казахстана 2.0»</v>
      </c>
      <c r="B269" s="4" t="str">
        <f ca="1">IFERROR(__xludf.DUMMYFUNCTION("""COMPUTED_VALUE"""),"РАСШИРЕННЫЙ")</f>
        <v>РАСШИРЕННЫЙ</v>
      </c>
      <c r="C269" s="4" t="str">
        <f ca="1">IFERROR(__xludf.DUMMYFUNCTION("""COMPUTED_VALUE"""),"RTL15B-1CRZKZ20")</f>
        <v>RTL15B-1CRZKZ20</v>
      </c>
      <c r="D269" s="4" t="str">
        <f ca="1">IFERROR(__xludf.DUMMYFUNCTION("""COMPUTED_VALUE"""),"Mobile SMARTS: Магазин 15, РАСШИРЕННЫЙ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т.ч."&amp;"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существ"&amp;"ующих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9" s="4" t="str">
        <f ca="1">IFERROR(__xludf.DUMMYFUNCTION("""COMPUTED_VALUE"""),"Mobile SMARTS: Магазин 15, РАСШИРЕННЫЙ для «1С: Розница для Казахстана 2.0», для работы с товаром по штрихкодам ")</f>
        <v xml:space="preserve">Mobile SMARTS: Магазин 15, РАСШИРЕННЫЙ для «1С: Розница для Казахстана 2.0», для работы с товаром по штрихкодам </v>
      </c>
      <c r="F269" s="5">
        <f ca="1">IFERROR(__xludf.DUMMYFUNCTION("""COMPUTED_VALUE"""),15050)</f>
        <v>15050</v>
      </c>
    </row>
    <row r="270" spans="1:6" ht="86.25" customHeight="1" x14ac:dyDescent="0.2">
      <c r="A270" s="4" t="str">
        <f ca="1">IFERROR(__xludf.DUMMYFUNCTION("""COMPUTED_VALUE"""),"«1С: Розница для Казахстана 2.0»")</f>
        <v>«1С: Розница для Казахстана 2.0»</v>
      </c>
      <c r="B270" s="4" t="str">
        <f ca="1">IFERROR(__xludf.DUMMYFUNCTION("""COMPUTED_VALUE"""),"МЕГАМАРКЕТ")</f>
        <v>МЕГАМАРКЕТ</v>
      </c>
      <c r="C270" s="4" t="str">
        <f ca="1">IFERROR(__xludf.DUMMYFUNCTION("""COMPUTED_VALUE"""),"RTL15C-1CRZKZ20")</f>
        <v>RTL15C-1CRZKZ20</v>
      </c>
      <c r="D270" s="4" t="str">
        <f ca="1">IFERROR(__xludf.DUMMYFUNCTION("""COMPUTED_VALUE"""),"Mobile SMARTS: Магазин 15, МЕГАМАРКЕТ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0" s="4" t="str">
        <f ca="1">IFERROR(__xludf.DUMMYFUNCTION("""COMPUTED_VALUE"""),"Mobile SMARTS: Магазин 15, МЕГАМАРКЕТ для «1С: Розница для Казахстана 2.0», для работы с товаром по штрихкодам ")</f>
        <v xml:space="preserve">Mobile SMARTS: Магазин 15, МЕГАМАРКЕТ для «1С: Розница для Казахстана 2.0», для работы с товаром по штрихкодам </v>
      </c>
      <c r="F270" s="5">
        <f ca="1">IFERROR(__xludf.DUMMYFUNCTION("""COMPUTED_VALUE"""),21550)</f>
        <v>21550</v>
      </c>
    </row>
    <row r="271" spans="1:6" ht="86.25" customHeight="1" x14ac:dyDescent="0.2">
      <c r="A271" s="4" t="str">
        <f ca="1">IFERROR(__xludf.DUMMYFUNCTION("""COMPUTED_VALUE"""),"«1С: Розница для Казахстана 2.2»")</f>
        <v>«1С: Розница для Казахстана 2.2»</v>
      </c>
      <c r="B271" s="4" t="str">
        <f ca="1">IFERROR(__xludf.DUMMYFUNCTION("""COMPUTED_VALUE"""),"МИНИМУМ")</f>
        <v>МИНИМУМ</v>
      </c>
      <c r="C271" s="4" t="str">
        <f ca="1">IFERROR(__xludf.DUMMYFUNCTION("""COMPUTED_VALUE"""),"RTL15M-1CRZKZ22")</f>
        <v>RTL15M-1CRZKZ22</v>
      </c>
      <c r="D271" s="4" t="str">
        <f ca="1">IFERROR(__xludf.DUMMYFUNCTION("""COMPUTED_VALUE"""),"Mobile SMARTS: Магазин 15, МИНИМУМ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"&amp;"настройка,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(один)"&amp;" год")</f>
        <v>Mobile SMARTS: Магазин 15, МИНИМУМ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71" s="4" t="str">
        <f ca="1">IFERROR(__xludf.DUMMYFUNCTION("""COMPUTED_VALUE"""),"Mobile SMARTS: Магазин 15, МИНИМУМ для «1С: Розница для Казахстана 2.2», для работы с товаром по штрихкодам ")</f>
        <v xml:space="preserve">Mobile SMARTS: Магазин 15, МИНИМУМ для «1С: Розница для Казахстана 2.2», для работы с товаром по штрихкодам </v>
      </c>
      <c r="F271" s="5">
        <f ca="1">IFERROR(__xludf.DUMMYFUNCTION("""COMPUTED_VALUE"""),3450)</f>
        <v>3450</v>
      </c>
    </row>
    <row r="272" spans="1:6" ht="86.25" customHeight="1" x14ac:dyDescent="0.2">
      <c r="A272" s="4" t="str">
        <f ca="1">IFERROR(__xludf.DUMMYFUNCTION("""COMPUTED_VALUE"""),"«1С: Розница для Казахстана 2.2»")</f>
        <v>«1С: Розница для Казахстана 2.2»</v>
      </c>
      <c r="B272" s="4" t="str">
        <f ca="1">IFERROR(__xludf.DUMMYFUNCTION("""COMPUTED_VALUE"""),"БАЗОВЫЙ")</f>
        <v>БАЗОВЫЙ</v>
      </c>
      <c r="C272" s="4" t="str">
        <f ca="1">IFERROR(__xludf.DUMMYFUNCTION("""COMPUTED_VALUE"""),"RTL15A-1CRZKZ22")</f>
        <v>RTL15A-1CRZKZ22</v>
      </c>
      <c r="D272" s="4" t="str">
        <f ca="1">IFERROR(__xludf.DUMMYFUNCTION("""COMPUTED_VALUE"""),"Mobile SMARTS: Магазин 15, БАЗОВЫЙ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п"&amp;"ечатью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существующи"&amp;"х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2" s="4" t="str">
        <f ca="1">IFERROR(__xludf.DUMMYFUNCTION("""COMPUTED_VALUE"""),"Mobile SMARTS: Магазин 15, БАЗОВЫЙ для «1С: Розница для Казахстана 2.2», для работы с товаром по штрихкодам ")</f>
        <v xml:space="preserve">Mobile SMARTS: Магазин 15, БАЗОВЫЙ для «1С: Розница для Казахстана 2.2», для работы с товаром по штрихкодам </v>
      </c>
      <c r="F272" s="5">
        <f ca="1">IFERROR(__xludf.DUMMYFUNCTION("""COMPUTED_VALUE"""),8650)</f>
        <v>8650</v>
      </c>
    </row>
    <row r="273" spans="1:6" ht="86.25" customHeight="1" x14ac:dyDescent="0.2">
      <c r="A273" s="4" t="str">
        <f ca="1">IFERROR(__xludf.DUMMYFUNCTION("""COMPUTED_VALUE"""),"«1С: Розница для Казахстана 2.2»")</f>
        <v>«1С: Розница для Казахстана 2.2»</v>
      </c>
      <c r="B273" s="4" t="str">
        <f ca="1">IFERROR(__xludf.DUMMYFUNCTION("""COMPUTED_VALUE"""),"РАСШИРЕННЫЙ")</f>
        <v>РАСШИРЕННЫЙ</v>
      </c>
      <c r="C273" s="4" t="str">
        <f ca="1">IFERROR(__xludf.DUMMYFUNCTION("""COMPUTED_VALUE"""),"RTL15B-1CRZKZ22")</f>
        <v>RTL15B-1CRZKZ22</v>
      </c>
      <c r="D273" s="4" t="str">
        <f ca="1">IFERROR(__xludf.DUMMYFUNCTION("""COMPUTED_VALUE"""),"Mobile SMARTS: Магазин 15, РАСШИРЕННЫЙ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т.ч."&amp;"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существ"&amp;"ующих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3" s="4" t="str">
        <f ca="1">IFERROR(__xludf.DUMMYFUNCTION("""COMPUTED_VALUE"""),"Mobile SMARTS: Магазин 15, РАСШИРЕННЫЙ для «1С: Розница для Казахстана 2.2», для работы с товаром по штрихкодам ")</f>
        <v xml:space="preserve">Mobile SMARTS: Магазин 15, РАСШИРЕННЫЙ для «1С: Розница для Казахстана 2.2», для работы с товаром по штрихкодам </v>
      </c>
      <c r="F273" s="5">
        <f ca="1">IFERROR(__xludf.DUMMYFUNCTION("""COMPUTED_VALUE"""),15050)</f>
        <v>15050</v>
      </c>
    </row>
    <row r="274" spans="1:6" ht="86.25" customHeight="1" x14ac:dyDescent="0.2">
      <c r="A274" s="4" t="str">
        <f ca="1">IFERROR(__xludf.DUMMYFUNCTION("""COMPUTED_VALUE"""),"«1С: Розница для Казахстана 2.2»")</f>
        <v>«1С: Розница для Казахстана 2.2»</v>
      </c>
      <c r="B274" s="4" t="str">
        <f ca="1">IFERROR(__xludf.DUMMYFUNCTION("""COMPUTED_VALUE"""),"МЕГАМАРКЕТ")</f>
        <v>МЕГАМАРКЕТ</v>
      </c>
      <c r="C274" s="4" t="str">
        <f ca="1">IFERROR(__xludf.DUMMYFUNCTION("""COMPUTED_VALUE"""),"RTL15C-1CRZKZ22")</f>
        <v>RTL15C-1CRZKZ22</v>
      </c>
      <c r="D274" s="4" t="str">
        <f ca="1">IFERROR(__xludf.DUMMYFUNCTION("""COMPUTED_VALUE"""),"Mobile SMARTS: Магазин 15, МЕГАМАРКЕТ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4" s="4" t="str">
        <f ca="1">IFERROR(__xludf.DUMMYFUNCTION("""COMPUTED_VALUE"""),"Mobile SMARTS: Магазин 15, МЕГАМАРКЕТ для «1С: Розница для Казахстана 2.2», для работы с товаром по штрихкодам ")</f>
        <v xml:space="preserve">Mobile SMARTS: Магазин 15, МЕГАМАРКЕТ для «1С: Розница для Казахстана 2.2», для работы с товаром по штрихкодам </v>
      </c>
      <c r="F274" s="5">
        <f ca="1">IFERROR(__xludf.DUMMYFUNCTION("""COMPUTED_VALUE"""),21550)</f>
        <v>21550</v>
      </c>
    </row>
    <row r="275" spans="1:6" ht="86.25" customHeight="1" x14ac:dyDescent="0.2">
      <c r="A275" s="4" t="str">
        <f ca="1">IFERROR(__xludf.DUMMYFUNCTION("""COMPUTED_VALUE"""),"«1С: Розница для Казахстана 2.3»")</f>
        <v>«1С: Розница для Казахстана 2.3»</v>
      </c>
      <c r="B275" s="4" t="str">
        <f ca="1">IFERROR(__xludf.DUMMYFUNCTION("""COMPUTED_VALUE"""),"МИНИМУМ")</f>
        <v>МИНИМУМ</v>
      </c>
      <c r="C275" s="4" t="str">
        <f ca="1">IFERROR(__xludf.DUMMYFUNCTION("""COMPUTED_VALUE"""),"RTL15M-1CRZKZ23")</f>
        <v>RTL15M-1CRZKZ23</v>
      </c>
      <c r="D275" s="4" t="str">
        <f ca="1">IFERROR(__xludf.DUMMYFUNCTION("""COMPUTED_VALUE"""),"Mobile SMARTS: Магазин 15, МИНИМУМ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"&amp;"настройка,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(один)"&amp;" год")</f>
        <v>Mobile SMARTS: Магазин 15, МИНИМУМ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75" s="4" t="str">
        <f ca="1">IFERROR(__xludf.DUMMYFUNCTION("""COMPUTED_VALUE"""),"Mobile SMARTS: Магазин 15, МИНИМУМ для «1С: Розница для Казахстана 2.3», для работы с товаром по штрихкодам ")</f>
        <v xml:space="preserve">Mobile SMARTS: Магазин 15, МИНИМУМ для «1С: Розница для Казахстана 2.3», для работы с товаром по штрихкодам </v>
      </c>
      <c r="F275" s="5">
        <f ca="1">IFERROR(__xludf.DUMMYFUNCTION("""COMPUTED_VALUE"""),3450)</f>
        <v>3450</v>
      </c>
    </row>
    <row r="276" spans="1:6" ht="86.25" customHeight="1" x14ac:dyDescent="0.2">
      <c r="A276" s="4" t="str">
        <f ca="1">IFERROR(__xludf.DUMMYFUNCTION("""COMPUTED_VALUE"""),"«1С: Розница для Казахстана 2.3»")</f>
        <v>«1С: Розница для Казахстана 2.3»</v>
      </c>
      <c r="B276" s="4" t="str">
        <f ca="1">IFERROR(__xludf.DUMMYFUNCTION("""COMPUTED_VALUE"""),"БАЗОВЫЙ")</f>
        <v>БАЗОВЫЙ</v>
      </c>
      <c r="C276" s="4" t="str">
        <f ca="1">IFERROR(__xludf.DUMMYFUNCTION("""COMPUTED_VALUE"""),"RTL15A-1CRZKZ23")</f>
        <v>RTL15A-1CRZKZ23</v>
      </c>
      <c r="D276" s="4" t="str">
        <f ca="1">IFERROR(__xludf.DUMMYFUNCTION("""COMPUTED_VALUE"""),"Mobile SMARTS: Магазин 15, БАЗОВЫЙ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п"&amp;"ечатью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существующи"&amp;"х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6" s="4" t="str">
        <f ca="1">IFERROR(__xludf.DUMMYFUNCTION("""COMPUTED_VALUE"""),"Mobile SMARTS: Магазин 15, БАЗОВЫЙ для «1С: Розница для Казахстана 2.3», для работы с товаром по штрихкодам ")</f>
        <v xml:space="preserve">Mobile SMARTS: Магазин 15, БАЗОВЫЙ для «1С: Розница для Казахстана 2.3», для работы с товаром по штрихкодам </v>
      </c>
      <c r="F276" s="5">
        <f ca="1">IFERROR(__xludf.DUMMYFUNCTION("""COMPUTED_VALUE"""),8650)</f>
        <v>8650</v>
      </c>
    </row>
    <row r="277" spans="1:6" ht="86.25" customHeight="1" x14ac:dyDescent="0.2">
      <c r="A277" s="4" t="str">
        <f ca="1">IFERROR(__xludf.DUMMYFUNCTION("""COMPUTED_VALUE"""),"«1С: Розница для Казахстана 2.3»")</f>
        <v>«1С: Розница для Казахстана 2.3»</v>
      </c>
      <c r="B277" s="4" t="str">
        <f ca="1">IFERROR(__xludf.DUMMYFUNCTION("""COMPUTED_VALUE"""),"РАСШИРЕННЫЙ")</f>
        <v>РАСШИРЕННЫЙ</v>
      </c>
      <c r="C277" s="4" t="str">
        <f ca="1">IFERROR(__xludf.DUMMYFUNCTION("""COMPUTED_VALUE"""),"RTL15B-1CRZKZ23")</f>
        <v>RTL15B-1CRZKZ23</v>
      </c>
      <c r="D277" s="4" t="str">
        <f ca="1">IFERROR(__xludf.DUMMYFUNCTION("""COMPUTED_VALUE"""),"Mobile SMARTS: Магазин 15, РАСШИРЕННЫЙ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т.ч."&amp;"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существ"&amp;"ующих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7" s="4" t="str">
        <f ca="1">IFERROR(__xludf.DUMMYFUNCTION("""COMPUTED_VALUE"""),"Mobile SMARTS: Магазин 15, РАСШИРЕННЫЙ для «1С: Розница для Казахстана 2.3», для работы с товаром по штрихкодам ")</f>
        <v xml:space="preserve">Mobile SMARTS: Магазин 15, РАСШИРЕННЫЙ для «1С: Розница для Казахстана 2.3», для работы с товаром по штрихкодам </v>
      </c>
      <c r="F277" s="5">
        <f ca="1">IFERROR(__xludf.DUMMYFUNCTION("""COMPUTED_VALUE"""),15050)</f>
        <v>15050</v>
      </c>
    </row>
    <row r="278" spans="1:6" ht="86.25" customHeight="1" x14ac:dyDescent="0.2">
      <c r="A278" s="4" t="str">
        <f ca="1">IFERROR(__xludf.DUMMYFUNCTION("""COMPUTED_VALUE"""),"«1С: Розница для Казахстана 2.3»")</f>
        <v>«1С: Розница для Казахстана 2.3»</v>
      </c>
      <c r="B278" s="4" t="str">
        <f ca="1">IFERROR(__xludf.DUMMYFUNCTION("""COMPUTED_VALUE"""),"МЕГАМАРКЕТ")</f>
        <v>МЕГАМАРКЕТ</v>
      </c>
      <c r="C278" s="4" t="str">
        <f ca="1">IFERROR(__xludf.DUMMYFUNCTION("""COMPUTED_VALUE"""),"RTL15C-1CRZKZ23")</f>
        <v>RTL15C-1CRZKZ23</v>
      </c>
      <c r="D278" s="4" t="str">
        <f ca="1">IFERROR(__xludf.DUMMYFUNCTION("""COMPUTED_VALUE"""),"Mobile SMARTS: Магазин 15, МЕГАМАРКЕТ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8" s="4" t="str">
        <f ca="1">IFERROR(__xludf.DUMMYFUNCTION("""COMPUTED_VALUE"""),"Mobile SMARTS: Магазин 15, МЕГАМАРКЕТ для «1С: Розница для Казахстана 2.3», для работы с товаром по штрихкодам ")</f>
        <v xml:space="preserve">Mobile SMARTS: Магазин 15, МЕГАМАРКЕТ для «1С: Розница для Казахстана 2.3», для работы с товаром по штрихкодам </v>
      </c>
      <c r="F278" s="5">
        <f ca="1">IFERROR(__xludf.DUMMYFUNCTION("""COMPUTED_VALUE"""),21550)</f>
        <v>21550</v>
      </c>
    </row>
    <row r="279" spans="1:6" ht="86.25" customHeight="1" x14ac:dyDescent="0.2">
      <c r="A279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79" s="4" t="str">
        <f ca="1">IFERROR(__xludf.DUMMYFUNCTION("""COMPUTED_VALUE"""),"МИНИМУМ")</f>
        <v>МИНИМУМ</v>
      </c>
      <c r="C279" s="4" t="str">
        <f ca="1">IFERROR(__xludf.DUMMYFUNCTION("""COMPUTED_VALUE"""),"RTL15M-1CUTPKZ20")</f>
        <v>RTL15M-1CUTPKZ20</v>
      </c>
      <c r="D279" s="4" t="str">
        <f ca="1">IFERROR(__xludf.DUMMYFUNCTION("""COMPUTED_VALUE"""),"Mobile SMARTS: Магазин 15, МИНИМУМ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инвентари"&amp;"зация,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ч"&amp;"ерез Интернет на 1 (один) год")</f>
        <v>Mobile SMARTS: Магазин 15, МИНИМУМ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79" s="4" t="str">
        <f ca="1">IFERROR(__xludf.DUMMYFUNCTION("""COMPUTED_VALUE"""),"Mobile SMARTS: Магазин 15, МИНИМУМ для «1С: Управление торговым предприятием для Казахстана 2.0», для работы с товаром по штрихкодам ")</f>
        <v xml:space="preserve">Mobile SMARTS: Магазин 15, МИНИМУМ для «1С: Управление торговым предприятием для Казахстана 2.0», для работы с товаром по штрихкодам </v>
      </c>
      <c r="F279" s="5">
        <f ca="1">IFERROR(__xludf.DUMMYFUNCTION("""COMPUTED_VALUE"""),3450)</f>
        <v>3450</v>
      </c>
    </row>
    <row r="280" spans="1:6" ht="86.25" customHeight="1" x14ac:dyDescent="0.2">
      <c r="A280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80" s="4" t="str">
        <f ca="1">IFERROR(__xludf.DUMMYFUNCTION("""COMPUTED_VALUE"""),"БАЗОВЫЙ")</f>
        <v>БАЗОВЫЙ</v>
      </c>
      <c r="C280" s="4" t="str">
        <f ca="1">IFERROR(__xludf.DUMMYFUNCTION("""COMPUTED_VALUE"""),"RTL15A-1CUTPKZ20")</f>
        <v>RTL15A-1CUTPKZ20</v>
      </c>
      <c r="D280" s="4" t="str">
        <f ca="1">IFERROR(__xludf.DUMMYFUNCTION("""COMPUTED_VALUE"""),"Mobile SMARTS: Магазин 15, БАЗОВЫЙ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инвентаризаци"&amp;"я,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экран"&amp;"е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0" s="4" t="str">
        <f ca="1">IFERROR(__xludf.DUMMYFUNCTION("""COMPUTED_VALUE"""),"Mobile SMARTS: Магазин 15, БАЗОВЫЙ для «1С: Управление торговым предприятием для Казахстана 2.0», для работы с товаром по штрихкодам ")</f>
        <v xml:space="preserve">Mobile SMARTS: Магазин 15, БАЗОВЫЙ для «1С: Управление торговым предприятием для Казахстана 2.0», для работы с товаром по штрихкодам </v>
      </c>
      <c r="F280" s="5">
        <f ca="1">IFERROR(__xludf.DUMMYFUNCTION("""COMPUTED_VALUE"""),8650)</f>
        <v>8650</v>
      </c>
    </row>
    <row r="281" spans="1:6" ht="86.25" customHeight="1" x14ac:dyDescent="0.2">
      <c r="A281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81" s="4" t="str">
        <f ca="1">IFERROR(__xludf.DUMMYFUNCTION("""COMPUTED_VALUE"""),"РАСШИРЕННЫЙ")</f>
        <v>РАСШИРЕННЫЙ</v>
      </c>
      <c r="C281" s="4" t="str">
        <f ca="1">IFERROR(__xludf.DUMMYFUNCTION("""COMPUTED_VALUE"""),"RTL15B-1CUTPKZ20")</f>
        <v>RTL15B-1CUTPKZ20</v>
      </c>
      <c r="D281" s="4" t="str">
        <f ca="1">IFERROR(__xludf.DUMMYFUNCTION("""COMPUTED_VALUE"""),"Mobile SMARTS: Магазин 15, РАСШИРЕННЫЙ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инвентари"&amp;"зация,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1" s="4" t="str">
        <f ca="1">IFERROR(__xludf.DUMMYFUNCTION("""COMPUTED_VALUE"""),"Mobile SMARTS: Магазин 15, РАСШИРЕННЫЙ для «1С: Управление торговым предприятием для Казахстана 2.0», для работы с товаром по штрихкодам ")</f>
        <v xml:space="preserve">Mobile SMARTS: Магазин 15, РАСШИРЕННЫЙ для «1С: Управление торговым предприятием для Казахстана 2.0», для работы с товаром по штрихкодам </v>
      </c>
      <c r="F281" s="5">
        <f ca="1">IFERROR(__xludf.DUMMYFUNCTION("""COMPUTED_VALUE"""),15050)</f>
        <v>15050</v>
      </c>
    </row>
    <row r="282" spans="1:6" ht="86.25" customHeight="1" x14ac:dyDescent="0.2">
      <c r="A282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82" s="4" t="str">
        <f ca="1">IFERROR(__xludf.DUMMYFUNCTION("""COMPUTED_VALUE"""),"МЕГАМАРКЕТ")</f>
        <v>МЕГАМАРКЕТ</v>
      </c>
      <c r="C282" s="4" t="str">
        <f ca="1">IFERROR(__xludf.DUMMYFUNCTION("""COMPUTED_VALUE"""),"RTL15C-1CUTPKZ20")</f>
        <v>RTL15C-1CUTPKZ20</v>
      </c>
      <c r="D282" s="4" t="str">
        <f ca="1">IFERROR(__xludf.DUMMYFUNCTION("""COMPUTED_VALUE"""),"Mobile SMARTS: Магазин 15, МЕГАМАРКЕТ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инвентариз"&amp;"ация,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о"&amp;"статках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2" s="4" t="str">
        <f ca="1">IFERROR(__xludf.DUMMYFUNCTION("""COMPUTED_VALUE"""),"Mobile SMARTS: Магазин 15, МЕГАМАРКЕТ для «1С: Управление торговым предприятием для Казахстана 2.0», для работы с товаром по штрихкодам ")</f>
        <v xml:space="preserve">Mobile SMARTS: Магазин 15, МЕГАМАРКЕТ для «1С: Управление торговым предприятием для Казахстана 2.0», для работы с товаром по штрихкодам </v>
      </c>
      <c r="F282" s="5">
        <f ca="1">IFERROR(__xludf.DUMMYFUNCTION("""COMPUTED_VALUE"""),21550)</f>
        <v>21550</v>
      </c>
    </row>
    <row r="283" spans="1:6" ht="86.25" customHeight="1" x14ac:dyDescent="0.2">
      <c r="A283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3" s="4" t="str">
        <f ca="1">IFERROR(__xludf.DUMMYFUNCTION("""COMPUTED_VALUE"""),"МИНИМУМ")</f>
        <v>МИНИМУМ</v>
      </c>
      <c r="C283" s="4" t="str">
        <f ca="1">IFERROR(__xludf.DUMMYFUNCTION("""COMPUTED_VALUE"""),"RTL15M-1CUTBEL33")</f>
        <v>RTL15M-1CUTBEL33</v>
      </c>
      <c r="D283" s="4" t="str">
        <f ca="1">IFERROR(__xludf.DUMMYFUNCTION("""COMPUTED_VALUE"""),"Mobile SMARTS: Магазин 15, МИНИМУМ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просмот"&amp;"р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"&amp;"на 1 (один) год")</f>
        <v>Mobile SMARTS: Магазин 15, МИНИМУМ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83" s="4" t="str">
        <f ca="1">IFERROR(__xludf.DUMMYFUNCTION("""COMPUTED_VALUE"""),"Mobile SMARTS: Магазин 15, МИНИМУМ для «1С: Управление торговлей для Беларуси 3.3», для работы с товаром по штрихкодам ")</f>
        <v xml:space="preserve">Mobile SMARTS: Магазин 15, МИНИМУМ для «1С: Управление торговлей для Беларуси 3.3», для работы с товаром по штрихкодам </v>
      </c>
      <c r="F283" s="5">
        <f ca="1">IFERROR(__xludf.DUMMYFUNCTION("""COMPUTED_VALUE"""),3450)</f>
        <v>3450</v>
      </c>
    </row>
    <row r="284" spans="1:6" ht="86.25" customHeight="1" x14ac:dyDescent="0.2">
      <c r="A284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4" s="4" t="str">
        <f ca="1">IFERROR(__xludf.DUMMYFUNCTION("""COMPUTED_VALUE"""),"БАЗОВЫЙ")</f>
        <v>БАЗОВЫЙ</v>
      </c>
      <c r="C284" s="4" t="str">
        <f ca="1">IFERROR(__xludf.DUMMYFUNCTION("""COMPUTED_VALUE"""),"RTL15A-1CUTBEL33")</f>
        <v>RTL15A-1CUTBEL33</v>
      </c>
      <c r="D284" s="4" t="str">
        <f ca="1">IFERROR(__xludf.DUMMYFUNCTION("""COMPUTED_VALUE"""),"Mobile SMARTS: Магазин 15, БАЗОВЫЙ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"&amp;"(в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4" s="4" t="str">
        <f ca="1">IFERROR(__xludf.DUMMYFUNCTION("""COMPUTED_VALUE"""),"Mobile SMARTS: Магазин 15, БАЗОВЫЙ для «1С: Управление торговлей для Беларуси 3.3», для работы с товаром по штрихкодам ")</f>
        <v xml:space="preserve">Mobile SMARTS: Магазин 15, БАЗОВЫЙ для «1С: Управление торговлей для Беларуси 3.3», для работы с товаром по штрихкодам </v>
      </c>
      <c r="F284" s="5">
        <f ca="1">IFERROR(__xludf.DUMMYFUNCTION("""COMPUTED_VALUE"""),8650)</f>
        <v>8650</v>
      </c>
    </row>
    <row r="285" spans="1:6" ht="86.25" customHeight="1" x14ac:dyDescent="0.2">
      <c r="A285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5" s="4" t="str">
        <f ca="1">IFERROR(__xludf.DUMMYFUNCTION("""COMPUTED_VALUE"""),"РАСШИРЕННЫЙ")</f>
        <v>РАСШИРЕННЫЙ</v>
      </c>
      <c r="C285" s="4" t="str">
        <f ca="1">IFERROR(__xludf.DUMMYFUNCTION("""COMPUTED_VALUE"""),"RTL15B-1CUTBEL33")</f>
        <v>RTL15B-1CUTBEL33</v>
      </c>
      <c r="D285" s="4" t="str">
        <f ca="1">IFERROR(__xludf.DUMMYFUNCTION("""COMPUTED_VALUE"""),"Mobile SMARTS: Магазин 15, РАСШИРЕННЫЙ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переоце"&amp;"нка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измене"&amp;"ние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5" s="4" t="str">
        <f ca="1">IFERROR(__xludf.DUMMYFUNCTION("""COMPUTED_VALUE"""),"Mobile SMARTS: Магазин 15, РАСШИРЕННЫЙ для «1С: Управление торговлей для Беларуси 3.3», для работы с товаром по штрихкодам ")</f>
        <v xml:space="preserve">Mobile SMARTS: Магазин 15, РАСШИРЕННЫЙ для «1С: Управление торговлей для Беларуси 3.3», для работы с товаром по штрихкодам </v>
      </c>
      <c r="F285" s="5">
        <f ca="1">IFERROR(__xludf.DUMMYFUNCTION("""COMPUTED_VALUE"""),15050)</f>
        <v>15050</v>
      </c>
    </row>
    <row r="286" spans="1:6" ht="86.25" customHeight="1" x14ac:dyDescent="0.2">
      <c r="A286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6" s="4" t="str">
        <f ca="1">IFERROR(__xludf.DUMMYFUNCTION("""COMPUTED_VALUE"""),"МЕГАМАРКЕТ")</f>
        <v>МЕГАМАРКЕТ</v>
      </c>
      <c r="C286" s="4" t="str">
        <f ca="1">IFERROR(__xludf.DUMMYFUNCTION("""COMPUTED_VALUE"""),"RTL15C-1CUTBEL33")</f>
        <v>RTL15C-1CUTBEL33</v>
      </c>
      <c r="D286" s="4" t="str">
        <f ca="1">IFERROR(__xludf.DUMMYFUNCTION("""COMPUTED_VALUE"""),"Mobile SMARTS: Магазин 15, МЕГАМАРКЕТ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6" s="4" t="str">
        <f ca="1">IFERROR(__xludf.DUMMYFUNCTION("""COMPUTED_VALUE"""),"Mobile SMARTS: Магазин 15, МЕГАМАРКЕТ для «1С: Управление торговлей для Беларуси 3.3», для работы с товаром по штрихкодам ")</f>
        <v xml:space="preserve">Mobile SMARTS: Магазин 15, МЕГАМАРКЕТ для «1С: Управление торговлей для Беларуси 3.3», для работы с товаром по штрихкодам </v>
      </c>
      <c r="F286" s="5">
        <f ca="1">IFERROR(__xludf.DUMMYFUNCTION("""COMPUTED_VALUE"""),21550)</f>
        <v>21550</v>
      </c>
    </row>
    <row r="287" spans="1:6" ht="86.25" customHeight="1" x14ac:dyDescent="0.2">
      <c r="A287" s="4"/>
      <c r="B287" s="4"/>
      <c r="C287" s="4"/>
      <c r="D287" s="4" t="str">
        <f ca="1">IFERROR(__xludf.DUMMYFUNCTION("""COMPUTED_VALUE"""),"Штрих-М")</f>
        <v>Штрих-М</v>
      </c>
      <c r="E287" s="4" t="str">
        <f ca="1">IFERROR(__xludf.DUMMYFUNCTION("""COMPUTED_VALUE"""),"#VALUE!")</f>
        <v>#VALUE!</v>
      </c>
      <c r="F287" s="5" t="str">
        <f ca="1">IFERROR(__xludf.DUMMYFUNCTION("""COMPUTED_VALUE"""),"#N/A")</f>
        <v>#N/A</v>
      </c>
    </row>
    <row r="288" spans="1:6" ht="86.25" customHeight="1" x14ac:dyDescent="0.2">
      <c r="A288" s="4" t="str">
        <f ca="1">IFERROR(__xludf.DUMMYFUNCTION("""COMPUTED_VALUE"""),"«Штрих-М: Торговое предприятие 5.2»")</f>
        <v>«Штрих-М: Торговое предприятие 5.2»</v>
      </c>
      <c r="B288" s="4" t="str">
        <f ca="1">IFERROR(__xludf.DUMMYFUNCTION("""COMPUTED_VALUE"""),"МИНИМУМ")</f>
        <v>МИНИМУМ</v>
      </c>
      <c r="C288" s="4" t="str">
        <f ca="1">IFERROR(__xludf.DUMMYFUNCTION("""COMPUTED_VALUE"""),"RTL15M-SHMTORG52")</f>
        <v>RTL15M-SHMTORG52</v>
      </c>
      <c r="D288" s="4" t="str">
        <f ca="1">IFERROR(__xludf.DUMMYFUNCTION("""COMPUTED_VALUE"""),"Mobile SMARTS: Магазин 15, МИНИМУМ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товаро"&amp;"в,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(од"&amp;"ин) год")</f>
        <v>Mobile SMARTS: Магазин 15, МИНИМУМ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88" s="4" t="str">
        <f ca="1">IFERROR(__xludf.DUMMYFUNCTION("""COMPUTED_VALUE"""),"Mobile SMARTS: Магазин 15, МИНИМУМ для «Штрих-М: Торговое предприятие 5.2», для работы с товаром по штрихкодам ")</f>
        <v xml:space="preserve">Mobile SMARTS: Магазин 15, МИНИМУМ для «Штрих-М: Торговое предприятие 5.2», для работы с товаром по штрихкодам </v>
      </c>
      <c r="F288" s="5">
        <f ca="1">IFERROR(__xludf.DUMMYFUNCTION("""COMPUTED_VALUE"""),3450)</f>
        <v>3450</v>
      </c>
    </row>
    <row r="289" spans="1:6" ht="86.25" customHeight="1" x14ac:dyDescent="0.2">
      <c r="A289" s="4" t="str">
        <f ca="1">IFERROR(__xludf.DUMMYFUNCTION("""COMPUTED_VALUE"""),"«Штрих-М: Торговое предприятие 5.2»")</f>
        <v>«Штрих-М: Торговое предприятие 5.2»</v>
      </c>
      <c r="B289" s="4" t="str">
        <f ca="1">IFERROR(__xludf.DUMMYFUNCTION("""COMPUTED_VALUE"""),"БАЗОВЫЙ")</f>
        <v>БАЗОВЫЙ</v>
      </c>
      <c r="C289" s="4" t="str">
        <f ca="1">IFERROR(__xludf.DUMMYFUNCTION("""COMPUTED_VALUE"""),"RTL15A-SHMTORG52")</f>
        <v>RTL15A-SHMTORG52</v>
      </c>
      <c r="D289" s="4" t="str">
        <f ca="1">IFERROR(__xludf.DUMMYFUNCTION("""COMPUTED_VALUE"""),"Mobile SMARTS: Магазин 15, БАЗОВЫЙ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9" s="4" t="str">
        <f ca="1">IFERROR(__xludf.DUMMYFUNCTION("""COMPUTED_VALUE"""),"Mobile SMARTS: Магазин 15, БАЗОВЫЙ для «Штрих-М: Торговое предприятие 5.2», для работы с товаром по штрихкодам ")</f>
        <v xml:space="preserve">Mobile SMARTS: Магазин 15, БАЗОВЫЙ для «Штрих-М: Торговое предприятие 5.2», для работы с товаром по штрихкодам </v>
      </c>
      <c r="F289" s="5">
        <f ca="1">IFERROR(__xludf.DUMMYFUNCTION("""COMPUTED_VALUE"""),8650)</f>
        <v>8650</v>
      </c>
    </row>
    <row r="290" spans="1:6" ht="86.25" customHeight="1" x14ac:dyDescent="0.2">
      <c r="A290" s="4" t="str">
        <f ca="1">IFERROR(__xludf.DUMMYFUNCTION("""COMPUTED_VALUE"""),"«Штрих-М: Торговое предприятие 5.2»")</f>
        <v>«Штрих-М: Торговое предприятие 5.2»</v>
      </c>
      <c r="B290" s="4" t="str">
        <f ca="1">IFERROR(__xludf.DUMMYFUNCTION("""COMPUTED_VALUE"""),"РАСШИРЕННЫЙ")</f>
        <v>РАСШИРЕННЫЙ</v>
      </c>
      <c r="C290" s="4" t="str">
        <f ca="1">IFERROR(__xludf.DUMMYFUNCTION("""COMPUTED_VALUE"""),"RTL15B-SHMTORG52")</f>
        <v>RTL15B-SHMTORG52</v>
      </c>
      <c r="D290" s="4" t="str">
        <f ca="1">IFERROR(__xludf.DUMMYFUNCTION("""COMPUTED_VALUE"""),"Mobile SMARTS: Магазин 15, РАСШИРЕННЫЙ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0" s="4" t="str">
        <f ca="1">IFERROR(__xludf.DUMMYFUNCTION("""COMPUTED_VALUE"""),"Mobile SMARTS: Магазин 15, РАСШИРЕННЫЙ для «Штрих-М: Торговое предприятие 5.2», для работы с товаром по штрихкодам ")</f>
        <v xml:space="preserve">Mobile SMARTS: Магазин 15, РАСШИРЕННЫЙ для «Штрих-М: Торговое предприятие 5.2», для работы с товаром по штрихкодам </v>
      </c>
      <c r="F290" s="5">
        <f ca="1">IFERROR(__xludf.DUMMYFUNCTION("""COMPUTED_VALUE"""),15050)</f>
        <v>15050</v>
      </c>
    </row>
    <row r="291" spans="1:6" ht="86.25" customHeight="1" x14ac:dyDescent="0.2">
      <c r="A291" s="4" t="str">
        <f ca="1">IFERROR(__xludf.DUMMYFUNCTION("""COMPUTED_VALUE"""),"«Штрих-М: Торговое предприятие 5.2»")</f>
        <v>«Штрих-М: Торговое предприятие 5.2»</v>
      </c>
      <c r="B291" s="4" t="str">
        <f ca="1">IFERROR(__xludf.DUMMYFUNCTION("""COMPUTED_VALUE"""),"МЕГАМАРКЕТ")</f>
        <v>МЕГАМАРКЕТ</v>
      </c>
      <c r="C291" s="4" t="str">
        <f ca="1">IFERROR(__xludf.DUMMYFUNCTION("""COMPUTED_VALUE"""),"RTL15C-SHMTORG52")</f>
        <v>RTL15C-SHMTORG52</v>
      </c>
      <c r="D291" s="4" t="str">
        <f ca="1">IFERROR(__xludf.DUMMYFUNCTION("""COMPUTED_VALUE"""),"Mobile SMARTS: Магазин 15, МЕГАМАРКЕТ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1" s="4" t="str">
        <f ca="1">IFERROR(__xludf.DUMMYFUNCTION("""COMPUTED_VALUE"""),"Mobile SMARTS: Магазин 15, МЕГАМАРКЕТ для «Штрих-М: Торговое предприятие 5.2», для работы с товаром по штрихкодам ")</f>
        <v xml:space="preserve">Mobile SMARTS: Магазин 15, МЕГАМАРКЕТ для «Штрих-М: Торговое предприятие 5.2», для работы с товаром по штрихкодам </v>
      </c>
      <c r="F291" s="5">
        <f ca="1">IFERROR(__xludf.DUMMYFUNCTION("""COMPUTED_VALUE"""),21550)</f>
        <v>21550</v>
      </c>
    </row>
    <row r="292" spans="1:6" ht="86.25" customHeight="1" x14ac:dyDescent="0.2">
      <c r="A292" s="4" t="str">
        <f ca="1">IFERROR(__xludf.DUMMYFUNCTION("""COMPUTED_VALUE"""),"«Штрих-М: Торговое предприятие 5.2»")</f>
        <v>«Штрих-М: Торговое предприятие 5.2»</v>
      </c>
      <c r="B292" s="4" t="str">
        <f ca="1">IFERROR(__xludf.DUMMYFUNCTION("""COMPUTED_VALUE"""),"с ЕГАИС, БАЗОВЫЙ")</f>
        <v>с ЕГАИС, БАЗОВЫЙ</v>
      </c>
      <c r="C292" s="4" t="str">
        <f ca="1">IFERROR(__xludf.DUMMYFUNCTION("""COMPUTED_VALUE"""),"RTL15AE-SHMTORG52")</f>
        <v>RTL15AE-SHMTORG52</v>
      </c>
      <c r="D292" s="4" t="str">
        <f ca="1">IFERROR(__xludf.DUMMYFUNCTION("""COMPUTED_VALUE"""),"Mobile SMARTS: Магазин 15 с ЕГАИС, БАЗОВЫЙ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92" s="4" t="str">
        <f ca="1">IFERROR(__xludf.DUMMYFUNCTION("""COMPUTED_VALUE"""),"Mobile SMARTS: Магазин 15 с ЕГАИС, БАЗОВЫЙ для «Штрих-М: Торговое предприятие 5.2», для работы с маркированным товаром: алкоголь ЕГАИС и товары по штрихкодам ")</f>
        <v xml:space="preserve">Mobile SMARTS: Магазин 15 с ЕГАИС, БАЗОВЫЙ для «Штрих-М: Торговое предприятие 5.2», для работы с маркированным товаром: алкоголь ЕГАИС и товары по штрихкодам </v>
      </c>
      <c r="F292" s="5">
        <f ca="1">IFERROR(__xludf.DUMMYFUNCTION("""COMPUTED_VALUE"""),11000)</f>
        <v>11000</v>
      </c>
    </row>
    <row r="293" spans="1:6" ht="86.25" customHeight="1" x14ac:dyDescent="0.2">
      <c r="A293" s="4" t="str">
        <f ca="1">IFERROR(__xludf.DUMMYFUNCTION("""COMPUTED_VALUE"""),"«Штрих-М: Торговое предприятие 5.2»")</f>
        <v>«Штрих-М: Торговое предприятие 5.2»</v>
      </c>
      <c r="B293" s="4" t="str">
        <f ca="1">IFERROR(__xludf.DUMMYFUNCTION("""COMPUTED_VALUE"""),"с ЕГАИС, РАСШИРЕННЫЙ")</f>
        <v>с ЕГАИС, РАСШИРЕННЫЙ</v>
      </c>
      <c r="C293" s="4" t="str">
        <f ca="1">IFERROR(__xludf.DUMMYFUNCTION("""COMPUTED_VALUE"""),"RTL15BE-SHMTORG52")</f>
        <v>RTL15BE-SHMTORG52</v>
      </c>
      <c r="D293" s="4" t="str">
        <f ca="1">IFERROR(__xludf.DUMMYFUNCTION("""COMPUTED_VALUE"""),"Mobile SMARTS: Магазин 15 с ЕГАИС, РАСШИРЕННЫЙ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3" s="4" t="str">
        <f ca="1">IFERROR(__xludf.DUMMYFUNCTION("""COMPUTED_VALUE"""),"Mobile SMARTS: Магазин 15 с ЕГАИС, РАСШИРЕННЫЙ для «Штрих-М: Торговое предприятие 5.2», для работы с маркированным товаром: алкоголь ЕГАИС и товары по штрихкодам ")</f>
        <v xml:space="preserve">Mobile SMARTS: Магазин 15 с ЕГАИС, РАСШИРЕННЫЙ для «Штрих-М: Торговое предприятие 5.2», для работы с маркированным товаром: алкоголь ЕГАИС и товары по штрихкодам </v>
      </c>
      <c r="F293" s="5">
        <f ca="1">IFERROR(__xludf.DUMMYFUNCTION("""COMPUTED_VALUE"""),17450)</f>
        <v>17450</v>
      </c>
    </row>
    <row r="294" spans="1:6" ht="86.25" customHeight="1" x14ac:dyDescent="0.2">
      <c r="A294" s="4" t="str">
        <f ca="1">IFERROR(__xludf.DUMMYFUNCTION("""COMPUTED_VALUE"""),"«Штрих-М: Торговое предприятие 5.2»")</f>
        <v>«Штрих-М: Торговое предприятие 5.2»</v>
      </c>
      <c r="B294" s="4" t="str">
        <f ca="1">IFERROR(__xludf.DUMMYFUNCTION("""COMPUTED_VALUE"""),"с ЕГАИС (без CheckMark2), МЕГАМАРКЕТ")</f>
        <v>с ЕГАИС (без CheckMark2), МЕГАМАРКЕТ</v>
      </c>
      <c r="C294" s="4" t="str">
        <f ca="1">IFERROR(__xludf.DUMMYFUNCTION("""COMPUTED_VALUE"""),"RTL15CEV-SHMTORG52")</f>
        <v>RTL15CEV-SHMTORG52</v>
      </c>
      <c r="D294" s="4" t="str">
        <f ca="1">IFERROR(__xludf.DUMMYFUNCTION("""COMPUTED_VALUE"""),"Mobile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д"&amp;"оступные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ра"&amp;"бота,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об"&amp;"мен через Интернет на 1 (один) год")</f>
        <v>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4" s="4" t="str">
        <f ca="1">IFERROR(__xludf.DUMMYFUNCTION("""COMPUTED_VALUE"""),"Mobile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")</f>
        <v xml:space="preserve">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</v>
      </c>
      <c r="F294" s="5">
        <f ca="1">IFERROR(__xludf.DUMMYFUNCTION("""COMPUTED_VALUE"""),23850)</f>
        <v>23850</v>
      </c>
    </row>
    <row r="295" spans="1:6" ht="86.25" customHeight="1" x14ac:dyDescent="0.2">
      <c r="A295" s="4" t="str">
        <f ca="1">IFERROR(__xludf.DUMMYFUNCTION("""COMPUTED_VALUE"""),"«Штрих-М: Торговое предприятие 5.2»")</f>
        <v>«Штрих-М: Торговое предприятие 5.2»</v>
      </c>
      <c r="B295" s="4" t="str">
        <f ca="1">IFERROR(__xludf.DUMMYFUNCTION("""COMPUTED_VALUE"""),"с МОТП, БАЗОВЫЙ")</f>
        <v>с МОТП, БАЗОВЫЙ</v>
      </c>
      <c r="C295" s="4" t="str">
        <f ca="1">IFERROR(__xludf.DUMMYFUNCTION("""COMPUTED_VALUE"""),"RTL15AT-SHMTORG52")</f>
        <v>RTL15AT-SHMTORG52</v>
      </c>
      <c r="D295" s="4" t="str">
        <f ca="1">IFERROR(__xludf.DUMMYFUNCTION("""COMPUTED_VALUE"""),"Mobile SMARTS: Магазин 15 с МОТП, БАЗОВЫЙ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поступление"&amp;"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5" s="4" t="str">
        <f ca="1">IFERROR(__xludf.DUMMYFUNCTION("""COMPUTED_VALUE"""),"Mobile SMARTS: Магазин 15 с МОТП, БАЗОВЫЙ для «Штрих-М: Торговое предприятие 5.2», для работы с маркированным товаром: ТАБАК и товары по штрихкодам ")</f>
        <v xml:space="preserve">Mobile SMARTS: Магазин 15 с МОТП, БАЗОВЫЙ для «Штрих-М: Торговое предприятие 5.2», для работы с маркированным товаром: ТАБАК и товары по штрихкодам </v>
      </c>
      <c r="F295" s="5">
        <f ca="1">IFERROR(__xludf.DUMMYFUNCTION("""COMPUTED_VALUE"""),11150)</f>
        <v>11150</v>
      </c>
    </row>
    <row r="296" spans="1:6" ht="86.25" customHeight="1" x14ac:dyDescent="0.2">
      <c r="A296" s="4" t="str">
        <f ca="1">IFERROR(__xludf.DUMMYFUNCTION("""COMPUTED_VALUE"""),"«Штрих-М: Торговое предприятие 5.2»")</f>
        <v>«Штрих-М: Торговое предприятие 5.2»</v>
      </c>
      <c r="B296" s="4" t="str">
        <f ca="1">IFERROR(__xludf.DUMMYFUNCTION("""COMPUTED_VALUE"""),"с МОТП, РАСШИРЕННЫЙ")</f>
        <v>с МОТП, РАСШИРЕННЫЙ</v>
      </c>
      <c r="C296" s="4" t="str">
        <f ca="1">IFERROR(__xludf.DUMMYFUNCTION("""COMPUTED_VALUE"""),"RTL15BT-SHMTORG52")</f>
        <v>RTL15BT-SHMTORG52</v>
      </c>
      <c r="D296" s="4" t="str">
        <f ca="1">IFERROR(__xludf.DUMMYFUNCTION("""COMPUTED_VALUE"""),"Mobile SMARTS: Магазин 15 с МОТП, РАСШИРЕННЫЙ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поступл"&amp;"ение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информ"&amp;"ация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6" s="4" t="str">
        <f ca="1">IFERROR(__xludf.DUMMYFUNCTION("""COMPUTED_VALUE"""),"Mobile SMARTS: Магазин 15 с МОТП, РАСШИРЕННЫЙ для «Штрих-М: Торговое предприятие 5.2», для работы с маркированным товаром: ТАБАК и товары по штрихкодам ")</f>
        <v xml:space="preserve">Mobile SMARTS: Магазин 15 с МОТП, РАСШИРЕННЫЙ для «Штрих-М: Торговое предприятие 5.2», для работы с маркированным товаром: ТАБАК и товары по штрихкодам </v>
      </c>
      <c r="F296" s="5">
        <f ca="1">IFERROR(__xludf.DUMMYFUNCTION("""COMPUTED_VALUE"""),17450)</f>
        <v>17450</v>
      </c>
    </row>
    <row r="297" spans="1:6" ht="86.25" customHeight="1" x14ac:dyDescent="0.2">
      <c r="A297" s="4" t="str">
        <f ca="1">IFERROR(__xludf.DUMMYFUNCTION("""COMPUTED_VALUE"""),"«Штрих-М: Торговое предприятие 5.2»")</f>
        <v>«Штрих-М: Торговое предприятие 5.2»</v>
      </c>
      <c r="B297" s="4" t="str">
        <f ca="1">IFERROR(__xludf.DUMMYFUNCTION("""COMPUTED_VALUE"""),"с МОТП, МЕГАМАРКЕТ")</f>
        <v>с МОТП, МЕГАМАРКЕТ</v>
      </c>
      <c r="C297" s="4" t="str">
        <f ca="1">IFERROR(__xludf.DUMMYFUNCTION("""COMPUTED_VALUE"""),"RTL15CT-SHMTORG52")</f>
        <v>RTL15CT-SHMTORG52</v>
      </c>
      <c r="D297" s="4" t="str">
        <f ca="1">IFERROR(__xludf.DUMMYFUNCTION("""COMPUTED_VALUE"""),"Mobile SMARTS: Магазин 15 с МОТП, МЕГАМАРКЕТ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поступле"&amp;"ние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коллект"&amp;"ивная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н"&amp;"а 1 (один) год")</f>
        <v>Mobile SMARTS: Магазин 15 с МОТП, МЕГАМАРКЕТ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7" s="4" t="str">
        <f ca="1">IFERROR(__xludf.DUMMYFUNCTION("""COMPUTED_VALUE"""),"Mobile SMARTS: Магазин 15 с МОТП, МЕГАМАРКЕТ для «Штрих-М: Торговое предприятие 5.2», для работы с маркированным товаром: ТАБАК и товары по штрихкодам ")</f>
        <v xml:space="preserve">Mobile SMARTS: Магазин 15 с МОТП, МЕГАМАРКЕТ для «Штрих-М: Торговое предприятие 5.2», для работы с маркированным товаром: ТАБАК и товары по штрихкодам </v>
      </c>
      <c r="F297" s="5">
        <f ca="1">IFERROR(__xludf.DUMMYFUNCTION("""COMPUTED_VALUE"""),23850)</f>
        <v>23850</v>
      </c>
    </row>
    <row r="298" spans="1:6" ht="86.25" customHeight="1" x14ac:dyDescent="0.2">
      <c r="A298" s="4" t="str">
        <f ca="1">IFERROR(__xludf.DUMMYFUNCTION("""COMPUTED_VALUE"""),"«Штрих-М: Торговое предприятие 5.2»")</f>
        <v>«Штрих-М: Торговое предприятие 5.2»</v>
      </c>
      <c r="B298" s="4" t="str">
        <f ca="1">IFERROR(__xludf.DUMMYFUNCTION("""COMPUTED_VALUE"""),"с ЕГАИС и МОТП, БАЗОВЫЙ")</f>
        <v>с ЕГАИС и МОТП, БАЗОВЫЙ</v>
      </c>
      <c r="C298" s="4" t="str">
        <f ca="1">IFERROR(__xludf.DUMMYFUNCTION("""COMPUTED_VALUE"""),"RTL15AET-SHMTORG52")</f>
        <v>RTL15AET-SHMTORG52</v>
      </c>
      <c r="D298" s="4" t="str">
        <f ca="1">IFERROR(__xludf.DUMMYFUNCTION("""COMPUTED_VALUE"""),"Mobile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опе"&amp;"рации: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/"&amp;"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8" s="4" t="str">
        <f ca="1">IFERROR(__xludf.DUMMYFUNCTION("""COMPUTED_VALUE"""),"Mobile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")</f>
        <v xml:space="preserve">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</v>
      </c>
      <c r="F298" s="5">
        <f ca="1">IFERROR(__xludf.DUMMYFUNCTION("""COMPUTED_VALUE"""),12150)</f>
        <v>12150</v>
      </c>
    </row>
    <row r="299" spans="1:6" ht="86.25" customHeight="1" x14ac:dyDescent="0.2">
      <c r="A299" s="4" t="str">
        <f ca="1">IFERROR(__xludf.DUMMYFUNCTION("""COMPUTED_VALUE"""),"«Штрих-М: Торговое предприятие 5.2»")</f>
        <v>«Штрих-М: Торговое предприятие 5.2»</v>
      </c>
      <c r="B299" s="4" t="str">
        <f ca="1">IFERROR(__xludf.DUMMYFUNCTION("""COMPUTED_VALUE"""),"с ЕГАИС и МОТП, РАСШИРЕННЫЙ")</f>
        <v>с ЕГАИС и МОТП, РАСШИРЕННЫЙ</v>
      </c>
      <c r="C299" s="4" t="str">
        <f ca="1">IFERROR(__xludf.DUMMYFUNCTION("""COMPUTED_VALUE"""),"RTL15BET-SHMTORG52")</f>
        <v>RTL15BET-SHMTORG52</v>
      </c>
      <c r="D299" s="4" t="str">
        <f ca="1">IFERROR(__xludf.DUMMYFUNCTION("""COMPUTED_VALUE"""),"Mobile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доступные"&amp;"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операц"&amp;"ий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9" s="4" t="str">
        <f ca="1">IFERROR(__xludf.DUMMYFUNCTION("""COMPUTED_VALUE"""),"Mobile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")</f>
        <v xml:space="preserve">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</v>
      </c>
      <c r="F299" s="5">
        <f ca="1">IFERROR(__xludf.DUMMYFUNCTION("""COMPUTED_VALUE"""),18550)</f>
        <v>18550</v>
      </c>
    </row>
    <row r="300" spans="1:6" ht="86.25" customHeight="1" x14ac:dyDescent="0.2">
      <c r="A300" s="4" t="str">
        <f ca="1">IFERROR(__xludf.DUMMYFUNCTION("""COMPUTED_VALUE"""),"«Штрих-М: Торговое предприятие 5.2»")</f>
        <v>«Штрих-М: Торговое предприятие 5.2»</v>
      </c>
      <c r="B300" s="4" t="str">
        <f ca="1">IFERROR(__xludf.DUMMYFUNCTION("""COMPUTED_VALUE"""),"с ЕГАИС и МОТП, МЕГАМАРКЕТ")</f>
        <v>с ЕГАИС и МОТП, МЕГАМАРКЕТ</v>
      </c>
      <c r="C300" s="4" t="str">
        <f ca="1">IFERROR(__xludf.DUMMYFUNCTION("""COMPUTED_VALUE"""),"RTL15CET-SHMTORG52")</f>
        <v>RTL15CET-SHMTORG52</v>
      </c>
      <c r="D300" s="4" t="str">
        <f ca="1">IFERROR(__xludf.DUMMYFUNCTION("""COMPUTED_VALUE"""),"Mobile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изменение"&amp;"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0" s="4" t="str">
        <f ca="1">IFERROR(__xludf.DUMMYFUNCTION("""COMPUTED_VALUE"""),"Mobile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")</f>
        <v xml:space="preserve">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</v>
      </c>
      <c r="F300" s="5">
        <f ca="1">IFERROR(__xludf.DUMMYFUNCTION("""COMPUTED_VALUE"""),26350)</f>
        <v>26350</v>
      </c>
    </row>
    <row r="301" spans="1:6" ht="86.25" customHeight="1" x14ac:dyDescent="0.2">
      <c r="A301" s="4" t="str">
        <f ca="1">IFERROR(__xludf.DUMMYFUNCTION("""COMPUTED_VALUE"""),"«Штрих-М: Торговое предприятие 5.2»")</f>
        <v>«Штрих-М: Торговое предприятие 5.2»</v>
      </c>
      <c r="B301" s="4" t="str">
        <f ca="1">IFERROR(__xludf.DUMMYFUNCTION("""COMPUTED_VALUE"""),"ШМОТКИ, БАЗОВЫЙ")</f>
        <v>ШМОТКИ, БАЗОВЫЙ</v>
      </c>
      <c r="C301" s="4" t="str">
        <f ca="1">IFERROR(__xludf.DUMMYFUNCTION("""COMPUTED_VALUE"""),"RTL15AK-SHMTORG52")</f>
        <v>RTL15AK-SHMTORG52</v>
      </c>
      <c r="D301" s="4" t="str">
        <f ca="1">IFERROR(__xludf.DUMMYFUNCTION("""COMPUTED_VALUE"""),"Mobile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доступные"&amp;"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в"&amp;"озможности: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"&amp;"1 (один) год")</f>
        <v>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1" s="4" t="str">
        <f ca="1">IFERROR(__xludf.DUMMYFUNCTION("""COMPUTED_VALUE"""),"Mobile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")</f>
        <v xml:space="preserve">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</v>
      </c>
      <c r="F301" s="5">
        <f ca="1">IFERROR(__xludf.DUMMYFUNCTION("""COMPUTED_VALUE"""),12150)</f>
        <v>12150</v>
      </c>
    </row>
    <row r="302" spans="1:6" ht="86.25" customHeight="1" x14ac:dyDescent="0.2">
      <c r="A302" s="4" t="str">
        <f ca="1">IFERROR(__xludf.DUMMYFUNCTION("""COMPUTED_VALUE"""),"«Штрих-М: Торговое предприятие 5.2»")</f>
        <v>«Штрих-М: Торговое предприятие 5.2»</v>
      </c>
      <c r="B302" s="4" t="str">
        <f ca="1">IFERROR(__xludf.DUMMYFUNCTION("""COMPUTED_VALUE"""),"ШМОТКИ, РАСШИРЕННЫЙ")</f>
        <v>ШМОТКИ, РАСШИРЕННЫЙ</v>
      </c>
      <c r="C302" s="4" t="str">
        <f ca="1">IFERROR(__xludf.DUMMYFUNCTION("""COMPUTED_VALUE"""),"RTL15BK-SHMTORG52")</f>
        <v>RTL15BK-SHMTORG52</v>
      </c>
      <c r="D302" s="4" t="str">
        <f ca="1">IFERROR(__xludf.DUMMYFUNCTION("""COMPUTED_VALUE"""),"Mobile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досту"&amp;"пные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QR-кодов"&amp;"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Интернет"&amp;" на 1 (один) год")</f>
        <v>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2" s="4" t="str">
        <f ca="1">IFERROR(__xludf.DUMMYFUNCTION("""COMPUTED_VALUE"""),"Mobile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")</f>
        <v xml:space="preserve">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</v>
      </c>
      <c r="F302" s="5">
        <f ca="1">IFERROR(__xludf.DUMMYFUNCTION("""COMPUTED_VALUE"""),18550)</f>
        <v>18550</v>
      </c>
    </row>
    <row r="303" spans="1:6" ht="86.25" customHeight="1" x14ac:dyDescent="0.2">
      <c r="A303" s="4" t="str">
        <f ca="1">IFERROR(__xludf.DUMMYFUNCTION("""COMPUTED_VALUE"""),"«Штрих-М: Торговое предприятие 5.2»")</f>
        <v>«Штрих-М: Торговое предприятие 5.2»</v>
      </c>
      <c r="B303" s="4" t="str">
        <f ca="1">IFERROR(__xludf.DUMMYFUNCTION("""COMPUTED_VALUE"""),"ШМОТКИ, МЕГАМАРКЕТ")</f>
        <v>ШМОТКИ, МЕГАМАРКЕТ</v>
      </c>
      <c r="C303" s="4" t="str">
        <f ca="1">IFERROR(__xludf.DUMMYFUNCTION("""COMPUTED_VALUE"""),"RTL15CK-SHMTORG52")</f>
        <v>RTL15CK-SHMTORG52</v>
      </c>
      <c r="D303" s="4" t="str">
        <f ca="1">IFERROR(__xludf.DUMMYFUNCTION("""COMPUTED_VALUE"""),"Mobile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доступ"&amp;"ные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"&amp;"/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3" s="4" t="str">
        <f ca="1">IFERROR(__xludf.DUMMYFUNCTION("""COMPUTED_VALUE"""),"Mobile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")</f>
        <v xml:space="preserve">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</v>
      </c>
      <c r="F303" s="5">
        <f ca="1">IFERROR(__xludf.DUMMYFUNCTION("""COMPUTED_VALUE"""),26350)</f>
        <v>26350</v>
      </c>
    </row>
    <row r="304" spans="1:6" ht="86.25" customHeight="1" x14ac:dyDescent="0.2">
      <c r="A304" s="4" t="str">
        <f ca="1">IFERROR(__xludf.DUMMYFUNCTION("""COMPUTED_VALUE"""),"«Штрих-М: Торговое предприятие 5.2»")</f>
        <v>«Штрих-М: Торговое предприятие 5.2»</v>
      </c>
      <c r="B304" s="4" t="str">
        <f ca="1">IFERROR(__xludf.DUMMYFUNCTION("""COMPUTED_VALUE"""),"ПРОДУКТОВЫЙ, БАЗОВЫЙ")</f>
        <v>ПРОДУКТОВЫЙ, БАЗОВЫЙ</v>
      </c>
      <c r="C304" s="4" t="str">
        <f ca="1">IFERROR(__xludf.DUMMYFUNCTION("""COMPUTED_VALUE"""),"RTL15AG-SHMTORG52")</f>
        <v>RTL15AG-SHMTORG52</v>
      </c>
      <c r="D304" s="4" t="str">
        <f ca="1">IFERROR(__xludf.DUMMYFUNCTION("""COMPUTED_VALUE"""),"Mobile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обмен"&amp;"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заказа"&amp;"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4" s="4" t="str">
        <f ca="1">IFERROR(__xludf.DUMMYFUNCTION("""COMPUTED_VALUE"""),"Mobile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</v>
      </c>
      <c r="F304" s="5">
        <f ca="1">IFERROR(__xludf.DUMMYFUNCTION("""COMPUTED_VALUE"""),14550)</f>
        <v>14550</v>
      </c>
    </row>
    <row r="305" spans="1:6" ht="86.25" customHeight="1" x14ac:dyDescent="0.2">
      <c r="A305" s="4" t="str">
        <f ca="1">IFERROR(__xludf.DUMMYFUNCTION("""COMPUTED_VALUE"""),"«Штрих-М: Торговое предприятие 5.2»")</f>
        <v>«Штрих-М: Торговое предприятие 5.2»</v>
      </c>
      <c r="B305" s="4" t="str">
        <f ca="1">IFERROR(__xludf.DUMMYFUNCTION("""COMPUTED_VALUE"""),"ПРОДУКТОВЫЙ, РАСШИРЕННЫЙ")</f>
        <v>ПРОДУКТОВЫЙ, РАСШИРЕННЫЙ</v>
      </c>
      <c r="C305" s="4" t="str">
        <f ca="1">IFERROR(__xludf.DUMMYFUNCTION("""COMPUTED_VALUE"""),"RTL15BG-SHMTORG52")</f>
        <v>RTL15BG-SHMTORG52</v>
      </c>
      <c r="D305" s="4" t="str">
        <f ca="1">IFERROR(__xludf.DUMMYFUNCTION("""COMPUTED_VALUE"""),"Mobile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о"&amp;"бмен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за"&amp;"каза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5" s="4" t="str">
        <f ca="1">IFERROR(__xludf.DUMMYFUNCTION("""COMPUTED_VALUE"""),"Mobile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</v>
      </c>
      <c r="F305" s="5">
        <f ca="1">IFERROR(__xludf.DUMMYFUNCTION("""COMPUTED_VALUE"""),20950)</f>
        <v>20950</v>
      </c>
    </row>
    <row r="306" spans="1:6" ht="86.25" customHeight="1" x14ac:dyDescent="0.2">
      <c r="A306" s="4" t="str">
        <f ca="1">IFERROR(__xludf.DUMMYFUNCTION("""COMPUTED_VALUE"""),"«Штрих-М: Торговое предприятие 5.2»")</f>
        <v>«Штрих-М: Торговое предприятие 5.2»</v>
      </c>
      <c r="B306" s="4" t="str">
        <f ca="1">IFERROR(__xludf.DUMMYFUNCTION("""COMPUTED_VALUE"""),"ПРОДУКТОВЫЙ, МЕГАМАРКЕТ")</f>
        <v>ПРОДУКТОВЫЙ, МЕГАМАРКЕТ</v>
      </c>
      <c r="C306" s="4" t="str">
        <f ca="1">IFERROR(__xludf.DUMMYFUNCTION("""COMPUTED_VALUE"""),"RTL15CG-SHMTORG52")</f>
        <v>RTL15CG-SHMTORG52</v>
      </c>
      <c r="D306" s="4" t="str">
        <f ca="1">IFERROR(__xludf.DUMMYFUNCTION("""COMPUTED_VALUE"""),"Mobile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об"&amp;"мен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контраг"&amp;"ентах,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6" s="4" t="str">
        <f ca="1">IFERROR(__xludf.DUMMYFUNCTION("""COMPUTED_VALUE"""),"Mobile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</v>
      </c>
      <c r="F306" s="5">
        <f ca="1">IFERROR(__xludf.DUMMYFUNCTION("""COMPUTED_VALUE"""),28250)</f>
        <v>28250</v>
      </c>
    </row>
    <row r="307" spans="1:6" ht="86.25" customHeight="1" x14ac:dyDescent="0.2">
      <c r="A307" s="4" t="str">
        <f ca="1">IFERROR(__xludf.DUMMYFUNCTION("""COMPUTED_VALUE"""),"«Штрих-М: Продуктовый магазин 5.2»")</f>
        <v>«Штрих-М: Продуктовый магазин 5.2»</v>
      </c>
      <c r="B307" s="4" t="str">
        <f ca="1">IFERROR(__xludf.DUMMYFUNCTION("""COMPUTED_VALUE"""),"МИНИМУМ")</f>
        <v>МИНИМУМ</v>
      </c>
      <c r="C307" s="4" t="str">
        <f ca="1">IFERROR(__xludf.DUMMYFUNCTION("""COMPUTED_VALUE"""),"RTL15M-SHMGSTORE52")</f>
        <v>RTL15M-SHMGSTORE52</v>
      </c>
      <c r="D307" s="4" t="str">
        <f ca="1">IFERROR(__xludf.DUMMYFUNCTION("""COMPUTED_VALUE"""),"Mobile SMARTS: Магазин 15, МИНИМУМ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товаров"&amp;",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(оди"&amp;"н) год")</f>
        <v>Mobile SMARTS: Магазин 15, МИНИМУМ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07" s="4" t="str">
        <f ca="1">IFERROR(__xludf.DUMMYFUNCTION("""COMPUTED_VALUE"""),"Mobile SMARTS: Магазин 15, МИНИМУМ для «Штрих-М: Продуктовый магазин 5.2», для работы с товаром по штрихкодам ")</f>
        <v xml:space="preserve">Mobile SMARTS: Магазин 15, МИНИМУМ для «Штрих-М: Продуктовый магазин 5.2», для работы с товаром по штрихкодам </v>
      </c>
      <c r="F307" s="5">
        <f ca="1">IFERROR(__xludf.DUMMYFUNCTION("""COMPUTED_VALUE"""),3450)</f>
        <v>3450</v>
      </c>
    </row>
    <row r="308" spans="1:6" ht="86.25" customHeight="1" x14ac:dyDescent="0.2">
      <c r="A308" s="4" t="str">
        <f ca="1">IFERROR(__xludf.DUMMYFUNCTION("""COMPUTED_VALUE"""),"«Штрих-М: Продуктовый магазин 5.2»")</f>
        <v>«Штрих-М: Продуктовый магазин 5.2»</v>
      </c>
      <c r="B308" s="4" t="str">
        <f ca="1">IFERROR(__xludf.DUMMYFUNCTION("""COMPUTED_VALUE"""),"БАЗОВЫЙ")</f>
        <v>БАЗОВЫЙ</v>
      </c>
      <c r="C308" s="4" t="str">
        <f ca="1">IFERROR(__xludf.DUMMYFUNCTION("""COMPUTED_VALUE"""),"RTL15A-SHMGSTORE52")</f>
        <v>RTL15A-SHMGSTORE52</v>
      </c>
      <c r="D308" s="4" t="str">
        <f ca="1">IFERROR(__xludf.DUMMYFUNCTION("""COMPUTED_VALUE"""),"Mobile SMARTS: Магазин 15, БАЗОВЫЙ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8" s="4" t="str">
        <f ca="1">IFERROR(__xludf.DUMMYFUNCTION("""COMPUTED_VALUE"""),"Mobile SMARTS: Магазин 15, БАЗОВЫЙ для «Штрих-М: Продуктовый магазин 5.2», для работы с товаром по штрихкодам ")</f>
        <v xml:space="preserve">Mobile SMARTS: Магазин 15, БАЗОВЫЙ для «Штрих-М: Продуктовый магазин 5.2», для работы с товаром по штрихкодам </v>
      </c>
      <c r="F308" s="5">
        <f ca="1">IFERROR(__xludf.DUMMYFUNCTION("""COMPUTED_VALUE"""),8650)</f>
        <v>8650</v>
      </c>
    </row>
    <row r="309" spans="1:6" ht="86.25" customHeight="1" x14ac:dyDescent="0.2">
      <c r="A309" s="4" t="str">
        <f ca="1">IFERROR(__xludf.DUMMYFUNCTION("""COMPUTED_VALUE"""),"«Штрих-М: Продуктовый магазин 5.2»")</f>
        <v>«Штрих-М: Продуктовый магазин 5.2»</v>
      </c>
      <c r="B309" s="4" t="str">
        <f ca="1">IFERROR(__xludf.DUMMYFUNCTION("""COMPUTED_VALUE"""),"РАСШИРЕННЫЙ")</f>
        <v>РАСШИРЕННЫЙ</v>
      </c>
      <c r="C309" s="4" t="str">
        <f ca="1">IFERROR(__xludf.DUMMYFUNCTION("""COMPUTED_VALUE"""),"RTL15B-SHMGSTORE52")</f>
        <v>RTL15B-SHMGSTORE52</v>
      </c>
      <c r="D309" s="4" t="str">
        <f ca="1">IFERROR(__xludf.DUMMYFUNCTION("""COMPUTED_VALUE"""),"Mobile SMARTS: Магазин 15, РАСШИРЕННЫЙ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сущес"&amp;"твующих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9" s="4" t="str">
        <f ca="1">IFERROR(__xludf.DUMMYFUNCTION("""COMPUTED_VALUE"""),"Mobile SMARTS: Магазин 15, РАСШИРЕННЫЙ для «Штрих-М: Продуктовый магазин 5.2», для работы с товаром по штрихкодам ")</f>
        <v xml:space="preserve">Mobile SMARTS: Магазин 15, РАСШИРЕННЫЙ для «Штрих-М: Продуктовый магазин 5.2», для работы с товаром по штрихкодам </v>
      </c>
      <c r="F309" s="5">
        <f ca="1">IFERROR(__xludf.DUMMYFUNCTION("""COMPUTED_VALUE"""),15050)</f>
        <v>15050</v>
      </c>
    </row>
    <row r="310" spans="1:6" ht="86.25" customHeight="1" x14ac:dyDescent="0.2">
      <c r="A310" s="4" t="str">
        <f ca="1">IFERROR(__xludf.DUMMYFUNCTION("""COMPUTED_VALUE"""),"«Штрих-М: Продуктовый магазин 5.2»")</f>
        <v>«Штрих-М: Продуктовый магазин 5.2»</v>
      </c>
      <c r="B310" s="4" t="str">
        <f ca="1">IFERROR(__xludf.DUMMYFUNCTION("""COMPUTED_VALUE"""),"МЕГАМАРКЕТ")</f>
        <v>МЕГАМАРКЕТ</v>
      </c>
      <c r="C310" s="4" t="str">
        <f ca="1">IFERROR(__xludf.DUMMYFUNCTION("""COMPUTED_VALUE"""),"RTL15C-SHMGSTORE52")</f>
        <v>RTL15C-SHMGSTORE52</v>
      </c>
      <c r="D310" s="4" t="str">
        <f ca="1">IFERROR(__xludf.DUMMYFUNCTION("""COMPUTED_VALUE"""),"Mobile SMARTS: Магазин 15, МЕГАМАРКЕТ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т.ч"&amp;".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экра"&amp;"не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0" s="4" t="str">
        <f ca="1">IFERROR(__xludf.DUMMYFUNCTION("""COMPUTED_VALUE"""),"Mobile SMARTS: Магазин 15, МЕГАМАРКЕТ для «Штрих-М: Продуктовый магазин 5.2», для работы с товаром по штрихкодам ")</f>
        <v xml:space="preserve">Mobile SMARTS: Магазин 15, МЕГАМАРКЕТ для «Штрих-М: Продуктовый магазин 5.2», для работы с товаром по штрихкодам </v>
      </c>
      <c r="F310" s="5">
        <f ca="1">IFERROR(__xludf.DUMMYFUNCTION("""COMPUTED_VALUE"""),21550)</f>
        <v>21550</v>
      </c>
    </row>
    <row r="311" spans="1:6" ht="86.25" customHeight="1" x14ac:dyDescent="0.2">
      <c r="A311" s="4" t="str">
        <f ca="1">IFERROR(__xludf.DUMMYFUNCTION("""COMPUTED_VALUE"""),"«Штрих-М: Продуктовый магазин 5.2»")</f>
        <v>«Штрих-М: Продуктовый магазин 5.2»</v>
      </c>
      <c r="B311" s="4" t="str">
        <f ca="1">IFERROR(__xludf.DUMMYFUNCTION("""COMPUTED_VALUE"""),"с ЕГАИС, БАЗОВЫЙ")</f>
        <v>с ЕГАИС, БАЗОВЫЙ</v>
      </c>
      <c r="C311" s="4" t="str">
        <f ca="1">IFERROR(__xludf.DUMMYFUNCTION("""COMPUTED_VALUE"""),"RTL15AE-SHMGSTORE52")</f>
        <v>RTL15AE-SHMGSTORE52</v>
      </c>
      <c r="D311" s="4" t="str">
        <f ca="1">IFERROR(__xludf.DUMMYFUNCTION("""COMPUTED_VALUE"""),"Mobile SMARTS: Магазин 15 с ЕГАИС, БАЗОВЫЙ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сб"&amp;"ор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информа"&amp;"ция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11" s="4" t="str">
        <f ca="1">IFERROR(__xludf.DUMMYFUNCTION("""COMPUTED_VALUE"""),"Mobile SMARTS: Магазин 15 с ЕГАИС, БАЗОВЫЙ для «Штрих-М: Продуктовый магазин 5.2», для работы с маркированным товаром: алкоголь ЕГАИС и товары по штрихкодам ")</f>
        <v xml:space="preserve">Mobile SMARTS: Магазин 15 с ЕГАИС, БАЗОВЫЙ для «Штрих-М: Продуктовый магазин 5.2», для работы с маркированным товаром: алкоголь ЕГАИС и товары по штрихкодам </v>
      </c>
      <c r="F311" s="5">
        <f ca="1">IFERROR(__xludf.DUMMYFUNCTION("""COMPUTED_VALUE"""),11000)</f>
        <v>11000</v>
      </c>
    </row>
    <row r="312" spans="1:6" ht="86.25" customHeight="1" x14ac:dyDescent="0.2">
      <c r="A312" s="4" t="str">
        <f ca="1">IFERROR(__xludf.DUMMYFUNCTION("""COMPUTED_VALUE"""),"«Штрих-М: Продуктовый магазин 5.2»")</f>
        <v>«Штрих-М: Продуктовый магазин 5.2»</v>
      </c>
      <c r="B312" s="4" t="str">
        <f ca="1">IFERROR(__xludf.DUMMYFUNCTION("""COMPUTED_VALUE"""),"с ЕГАИС, РАСШИРЕННЫЙ")</f>
        <v>с ЕГАИС, РАСШИРЕННЫЙ</v>
      </c>
      <c r="C312" s="4" t="str">
        <f ca="1">IFERROR(__xludf.DUMMYFUNCTION("""COMPUTED_VALUE"""),"RTL15BE-SHMGSTORE52")</f>
        <v>RTL15BE-SHMGSTORE52</v>
      </c>
      <c r="D312" s="4" t="str">
        <f ca="1">IFERROR(__xludf.DUMMYFUNCTION("""COMPUTED_VALUE"""),"Mobile SMARTS: Магазин 15 с ЕГАИС, РАСШИРЕННЫЙ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операции"&amp;":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2" s="4" t="str">
        <f ca="1">IFERROR(__xludf.DUMMYFUNCTION("""COMPUTED_VALUE"""),"Mobile SMARTS: Магазин 15 с ЕГАИС, РАСШИРЕННЫЙ для «Штрих-М: Продуктовый магазин 5.2», для работы с маркированным товаром: алкоголь ЕГАИС и товары по штрихкодам ")</f>
        <v xml:space="preserve">Mobile SMARTS: Магазин 15 с ЕГАИС, РАСШИРЕННЫЙ для «Штрих-М: Продуктовый магазин 5.2», для работы с маркированным товаром: алкоголь ЕГАИС и товары по штрихкодам </v>
      </c>
      <c r="F312" s="5">
        <f ca="1">IFERROR(__xludf.DUMMYFUNCTION("""COMPUTED_VALUE"""),17450)</f>
        <v>17450</v>
      </c>
    </row>
    <row r="313" spans="1:6" ht="86.25" customHeight="1" x14ac:dyDescent="0.2">
      <c r="A313" s="4" t="str">
        <f ca="1">IFERROR(__xludf.DUMMYFUNCTION("""COMPUTED_VALUE"""),"«Штрих-М: Продуктовый магазин 5.2»")</f>
        <v>«Штрих-М: Продуктовый магазин 5.2»</v>
      </c>
      <c r="B313" s="4" t="str">
        <f ca="1">IFERROR(__xludf.DUMMYFUNCTION("""COMPUTED_VALUE"""),"с ЕГАИС (без CheckMark2), МЕГАМАРКЕТ")</f>
        <v>с ЕГАИС (без CheckMark2), МЕГАМАРКЕТ</v>
      </c>
      <c r="C313" s="4" t="str">
        <f ca="1">IFERROR(__xludf.DUMMYFUNCTION("""COMPUTED_VALUE"""),"RTL15CEV-SHMGSTORE52")</f>
        <v>RTL15CEV-SHMGSTORE52</v>
      </c>
      <c r="D313" s="4" t="str">
        <f ca="1">IFERROR(__xludf.DUMMYFUNCTION("""COMPUTED_VALUE"""),"Mobile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до"&amp;"ступные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раб"&amp;"ота,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обм"&amp;"ен через Интернет на 1 (один) год")</f>
        <v>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3" s="4" t="str">
        <f ca="1">IFERROR(__xludf.DUMMYFUNCTION("""COMPUTED_VALUE"""),"Mobile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")</f>
        <v xml:space="preserve">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</v>
      </c>
      <c r="F313" s="5">
        <f ca="1">IFERROR(__xludf.DUMMYFUNCTION("""COMPUTED_VALUE"""),23850)</f>
        <v>23850</v>
      </c>
    </row>
    <row r="314" spans="1:6" ht="86.25" customHeight="1" x14ac:dyDescent="0.2">
      <c r="A314" s="4" t="str">
        <f ca="1">IFERROR(__xludf.DUMMYFUNCTION("""COMPUTED_VALUE"""),"«Штрих-М: Продуктовый магазин 5.2»")</f>
        <v>«Штрих-М: Продуктовый магазин 5.2»</v>
      </c>
      <c r="B314" s="4" t="str">
        <f ca="1">IFERROR(__xludf.DUMMYFUNCTION("""COMPUTED_VALUE"""),"с МОТП, БАЗОВЫЙ")</f>
        <v>с МОТП, БАЗОВЫЙ</v>
      </c>
      <c r="C314" s="4" t="str">
        <f ca="1">IFERROR(__xludf.DUMMYFUNCTION("""COMPUTED_VALUE"""),"RTL15AT-SHMGSTORE52")</f>
        <v>RTL15AT-SHMGSTORE52</v>
      </c>
      <c r="D314" s="4" t="str">
        <f ca="1">IFERROR(__xludf.DUMMYFUNCTION("""COMPUTED_VALUE"""),"Mobile SMARTS: Магазин 15 с МОТП, БАЗОВЫЙ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"&amp;"(в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"&amp;"о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4" s="4" t="str">
        <f ca="1">IFERROR(__xludf.DUMMYFUNCTION("""COMPUTED_VALUE"""),"Mobile SMARTS: Магазин 15 с МОТП, БАЗОВЫЙ для «Штрих-М: Продуктовый магазин 5.2», для работы с маркированным товаром: ТАБАК и товары по штрихкодам ")</f>
        <v xml:space="preserve">Mobile SMARTS: Магазин 15 с МОТП, БАЗОВЫЙ для «Штрих-М: Продуктовый магазин 5.2», для работы с маркированным товаром: ТАБАК и товары по штрихкодам </v>
      </c>
      <c r="F314" s="5">
        <f ca="1">IFERROR(__xludf.DUMMYFUNCTION("""COMPUTED_VALUE"""),11150)</f>
        <v>11150</v>
      </c>
    </row>
    <row r="315" spans="1:6" ht="86.25" customHeight="1" x14ac:dyDescent="0.2">
      <c r="A315" s="4" t="str">
        <f ca="1">IFERROR(__xludf.DUMMYFUNCTION("""COMPUTED_VALUE"""),"«Штрих-М: Продуктовый магазин 5.2»")</f>
        <v>«Штрих-М: Продуктовый магазин 5.2»</v>
      </c>
      <c r="B315" s="4" t="str">
        <f ca="1">IFERROR(__xludf.DUMMYFUNCTION("""COMPUTED_VALUE"""),"с МОТП, РАСШИРЕННЫЙ")</f>
        <v>с МОТП, РАСШИРЕННЫЙ</v>
      </c>
      <c r="C315" s="4" t="str">
        <f ca="1">IFERROR(__xludf.DUMMYFUNCTION("""COMPUTED_VALUE"""),"RTL15BT-SHMGSTORE52")</f>
        <v>RTL15BT-SHMGSTORE52</v>
      </c>
      <c r="D315" s="4" t="str">
        <f ca="1">IFERROR(__xludf.DUMMYFUNCTION("""COMPUTED_VALUE"""),"Mobile SMARTS: Магазин 15 с МОТП, РАСШИРЕННЫЙ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поступле"&amp;"ние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информа"&amp;"ция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5" s="4" t="str">
        <f ca="1">IFERROR(__xludf.DUMMYFUNCTION("""COMPUTED_VALUE"""),"Mobile SMARTS: Магазин 15 с МОТП, РАСШИРЕННЫЙ для «Штрих-М: Продуктовый магазин 5.2», для работы с маркированным товаром: ТАБАК и товары по штрихкодам ")</f>
        <v xml:space="preserve">Mobile SMARTS: Магазин 15 с МОТП, РАСШИРЕННЫЙ для «Штрих-М: Продуктовый магазин 5.2», для работы с маркированным товаром: ТАБАК и товары по штрихкодам </v>
      </c>
      <c r="F315" s="5">
        <f ca="1">IFERROR(__xludf.DUMMYFUNCTION("""COMPUTED_VALUE"""),17450)</f>
        <v>17450</v>
      </c>
    </row>
    <row r="316" spans="1:6" ht="86.25" customHeight="1" x14ac:dyDescent="0.2">
      <c r="A316" s="4" t="str">
        <f ca="1">IFERROR(__xludf.DUMMYFUNCTION("""COMPUTED_VALUE"""),"«Штрих-М: Продуктовый магазин 5.2»")</f>
        <v>«Штрих-М: Продуктовый магазин 5.2»</v>
      </c>
      <c r="B316" s="4" t="str">
        <f ca="1">IFERROR(__xludf.DUMMYFUNCTION("""COMPUTED_VALUE"""),"с МОТП, МЕГАМАРКЕТ")</f>
        <v>с МОТП, МЕГАМАРКЕТ</v>
      </c>
      <c r="C316" s="4" t="str">
        <f ca="1">IFERROR(__xludf.DUMMYFUNCTION("""COMPUTED_VALUE"""),"RTL15CT-SHMGSTORE52")</f>
        <v>RTL15CT-SHMGSTORE52</v>
      </c>
      <c r="D316" s="4" t="str">
        <f ca="1">IFERROR(__xludf.DUMMYFUNCTION("""COMPUTED_VALUE"""),"Mobile SMARTS: Магазин 15 с МОТП, МЕГАМАРКЕТ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поступлен"&amp;"ие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коллекти"&amp;"вная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на"&amp;" 1 (один) год")</f>
        <v>Mobile SMARTS: Магазин 15 с МОТП, МЕГАМАРКЕТ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6" s="4" t="str">
        <f ca="1">IFERROR(__xludf.DUMMYFUNCTION("""COMPUTED_VALUE"""),"Mobile SMARTS: Магазин 15 с МОТП, МЕГАМАРКЕТ для «Штрих-М: Продуктовый магазин 5.2», для работы с маркированным товаром: ТАБАК и товары по штрихкодам ")</f>
        <v xml:space="preserve">Mobile SMARTS: Магазин 15 с МОТП, МЕГАМАРКЕТ для «Штрих-М: Продуктовый магазин 5.2», для работы с маркированным товаром: ТАБАК и товары по штрихкодам </v>
      </c>
      <c r="F316" s="5">
        <f ca="1">IFERROR(__xludf.DUMMYFUNCTION("""COMPUTED_VALUE"""),23850)</f>
        <v>23850</v>
      </c>
    </row>
    <row r="317" spans="1:6" ht="86.25" customHeight="1" x14ac:dyDescent="0.2">
      <c r="A317" s="4" t="str">
        <f ca="1">IFERROR(__xludf.DUMMYFUNCTION("""COMPUTED_VALUE"""),"«Штрих-М: Продуктовый магазин 5.2»")</f>
        <v>«Штрих-М: Продуктовый магазин 5.2»</v>
      </c>
      <c r="B317" s="4" t="str">
        <f ca="1">IFERROR(__xludf.DUMMYFUNCTION("""COMPUTED_VALUE"""),"с ЕГАИС и МОТП, БАЗОВЫЙ")</f>
        <v>с ЕГАИС и МОТП, БАЗОВЫЙ</v>
      </c>
      <c r="C317" s="4" t="str">
        <f ca="1">IFERROR(__xludf.DUMMYFUNCTION("""COMPUTED_VALUE"""),"RTL15AET-SHMGSTORE52")</f>
        <v>RTL15AET-SHMGSTORE52</v>
      </c>
      <c r="D317" s="4" t="str">
        <f ca="1">IFERROR(__xludf.DUMMYFUNCTION("""COMPUTED_VALUE"""),"Mobile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опер"&amp;"ации: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"&amp;"возможность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7" s="4" t="str">
        <f ca="1">IFERROR(__xludf.DUMMYFUNCTION("""COMPUTED_VALUE"""),"Mobile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")</f>
        <v xml:space="preserve">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</v>
      </c>
      <c r="F317" s="5">
        <f ca="1">IFERROR(__xludf.DUMMYFUNCTION("""COMPUTED_VALUE"""),12150)</f>
        <v>12150</v>
      </c>
    </row>
    <row r="318" spans="1:6" ht="86.25" customHeight="1" x14ac:dyDescent="0.2">
      <c r="A318" s="4" t="str">
        <f ca="1">IFERROR(__xludf.DUMMYFUNCTION("""COMPUTED_VALUE"""),"«Штрих-М: Продуктовый магазин 5.2»")</f>
        <v>«Штрих-М: Продуктовый магазин 5.2»</v>
      </c>
      <c r="B318" s="4" t="str">
        <f ca="1">IFERROR(__xludf.DUMMYFUNCTION("""COMPUTED_VALUE"""),"с ЕГАИС и МОТП, РАСШИРЕННЫЙ")</f>
        <v>с ЕГАИС и МОТП, РАСШИРЕННЫЙ</v>
      </c>
      <c r="C318" s="4" t="str">
        <f ca="1">IFERROR(__xludf.DUMMYFUNCTION("""COMPUTED_VALUE"""),"RTL15BET-SHMGSTORE52")</f>
        <v>RTL15BET-SHMGSTORE52</v>
      </c>
      <c r="D318" s="4" t="str">
        <f ca="1">IFERROR(__xludf.DUMMYFUNCTION("""COMPUTED_VALUE"""),"Mobile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операци"&amp;"й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8" s="4" t="str">
        <f ca="1">IFERROR(__xludf.DUMMYFUNCTION("""COMPUTED_VALUE"""),"Mobile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")</f>
        <v xml:space="preserve">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</v>
      </c>
      <c r="F318" s="5">
        <f ca="1">IFERROR(__xludf.DUMMYFUNCTION("""COMPUTED_VALUE"""),18550)</f>
        <v>18550</v>
      </c>
    </row>
    <row r="319" spans="1:6" ht="86.25" customHeight="1" x14ac:dyDescent="0.2">
      <c r="A319" s="4" t="str">
        <f ca="1">IFERROR(__xludf.DUMMYFUNCTION("""COMPUTED_VALUE"""),"«Штрих-М: Продуктовый магазин 5.2»")</f>
        <v>«Штрих-М: Продуктовый магазин 5.2»</v>
      </c>
      <c r="B319" s="4" t="str">
        <f ca="1">IFERROR(__xludf.DUMMYFUNCTION("""COMPUTED_VALUE"""),"с ЕГАИС и МОТП, МЕГАМАРКЕТ")</f>
        <v>с ЕГАИС и МОТП, МЕГАМАРКЕТ</v>
      </c>
      <c r="C319" s="4" t="str">
        <f ca="1">IFERROR(__xludf.DUMMYFUNCTION("""COMPUTED_VALUE"""),"RTL15CET-SHMGSTORE52")</f>
        <v>RTL15CET-SHMGSTORE52</v>
      </c>
      <c r="D319" s="4" t="str">
        <f ca="1">IFERROR(__xludf.DUMMYFUNCTION("""COMPUTED_VALUE"""),"Mobile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о"&amp;"перации: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9" s="4" t="str">
        <f ca="1">IFERROR(__xludf.DUMMYFUNCTION("""COMPUTED_VALUE"""),"Mobile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")</f>
        <v xml:space="preserve">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</v>
      </c>
      <c r="F319" s="5">
        <f ca="1">IFERROR(__xludf.DUMMYFUNCTION("""COMPUTED_VALUE"""),26350)</f>
        <v>26350</v>
      </c>
    </row>
    <row r="320" spans="1:6" ht="86.25" customHeight="1" x14ac:dyDescent="0.2">
      <c r="A320" s="4" t="str">
        <f ca="1">IFERROR(__xludf.DUMMYFUNCTION("""COMPUTED_VALUE"""),"«Штрих-М: Продуктовый магазин 5.2»")</f>
        <v>«Штрих-М: Продуктовый магазин 5.2»</v>
      </c>
      <c r="B320" s="4" t="str">
        <f ca="1">IFERROR(__xludf.DUMMYFUNCTION("""COMPUTED_VALUE"""),"ШМОТКИ, БАЗОВЫЙ")</f>
        <v>ШМОТКИ, БАЗОВЫЙ</v>
      </c>
      <c r="C320" s="4" t="str">
        <f ca="1">IFERROR(__xludf.DUMMYFUNCTION("""COMPUTED_VALUE"""),"RTL15AK-SHMGSTORE52")</f>
        <v>RTL15AK-SHMGSTORE52</v>
      </c>
      <c r="D320" s="4" t="str">
        <f ca="1">IFERROR(__xludf.DUMMYFUNCTION("""COMPUTED_VALUE"""),"Mobile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0" s="4" t="str">
        <f ca="1">IFERROR(__xludf.DUMMYFUNCTION("""COMPUTED_VALUE"""),"Mobile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")</f>
        <v xml:space="preserve">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</v>
      </c>
      <c r="F320" s="5">
        <f ca="1">IFERROR(__xludf.DUMMYFUNCTION("""COMPUTED_VALUE"""),12150)</f>
        <v>12150</v>
      </c>
    </row>
    <row r="321" spans="1:6" ht="86.25" customHeight="1" x14ac:dyDescent="0.2">
      <c r="A321" s="4" t="str">
        <f ca="1">IFERROR(__xludf.DUMMYFUNCTION("""COMPUTED_VALUE"""),"«Штрих-М: Продуктовый магазин 5.2»")</f>
        <v>«Штрих-М: Продуктовый магазин 5.2»</v>
      </c>
      <c r="B321" s="4" t="str">
        <f ca="1">IFERROR(__xludf.DUMMYFUNCTION("""COMPUTED_VALUE"""),"ШМОТКИ, РАСШИРЕННЫЙ")</f>
        <v>ШМОТКИ, РАСШИРЕННЫЙ</v>
      </c>
      <c r="C321" s="4" t="str">
        <f ca="1">IFERROR(__xludf.DUMMYFUNCTION("""COMPUTED_VALUE"""),"RTL15BK-SHMGSTORE52")</f>
        <v>RTL15BK-SHMGSTORE52</v>
      </c>
      <c r="D321" s="4" t="str">
        <f ca="1">IFERROR(__xludf.DUMMYFUNCTION("""COMPUTED_VALUE"""),"Mobile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доступ"&amp;"ные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"&amp;"/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1" s="4" t="str">
        <f ca="1">IFERROR(__xludf.DUMMYFUNCTION("""COMPUTED_VALUE"""),"Mobile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")</f>
        <v xml:space="preserve">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</v>
      </c>
      <c r="F321" s="5">
        <f ca="1">IFERROR(__xludf.DUMMYFUNCTION("""COMPUTED_VALUE"""),18550)</f>
        <v>18550</v>
      </c>
    </row>
    <row r="322" spans="1:6" ht="86.25" customHeight="1" x14ac:dyDescent="0.2">
      <c r="A322" s="4" t="str">
        <f ca="1">IFERROR(__xludf.DUMMYFUNCTION("""COMPUTED_VALUE"""),"«Штрих-М: Продуктовый магазин 5.2»")</f>
        <v>«Штрих-М: Продуктовый магазин 5.2»</v>
      </c>
      <c r="B322" s="4" t="str">
        <f ca="1">IFERROR(__xludf.DUMMYFUNCTION("""COMPUTED_VALUE"""),"ШМОТКИ, МЕГАМАРКЕТ")</f>
        <v>ШМОТКИ, МЕГАМАРКЕТ</v>
      </c>
      <c r="C322" s="4" t="str">
        <f ca="1">IFERROR(__xludf.DUMMYFUNCTION("""COMPUTED_VALUE"""),"RTL15CK-SHMGSTORE52")</f>
        <v>RTL15CK-SHMGSTORE52</v>
      </c>
      <c r="D322" s="4" t="str">
        <f ca="1">IFERROR(__xludf.DUMMYFUNCTION("""COMPUTED_VALUE"""),"Mobile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доступн"&amp;"ые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/"&amp;"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о"&amp;"бмен через Интернет на 1 (один) год")</f>
        <v>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2" s="4" t="str">
        <f ca="1">IFERROR(__xludf.DUMMYFUNCTION("""COMPUTED_VALUE"""),"Mobile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")</f>
        <v xml:space="preserve">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</v>
      </c>
      <c r="F322" s="5">
        <f ca="1">IFERROR(__xludf.DUMMYFUNCTION("""COMPUTED_VALUE"""),26350)</f>
        <v>26350</v>
      </c>
    </row>
    <row r="323" spans="1:6" ht="86.25" customHeight="1" x14ac:dyDescent="0.2">
      <c r="A323" s="4" t="str">
        <f ca="1">IFERROR(__xludf.DUMMYFUNCTION("""COMPUTED_VALUE"""),"«Штрих-М: Продуктовый магазин 5.2»")</f>
        <v>«Штрих-М: Продуктовый магазин 5.2»</v>
      </c>
      <c r="B323" s="4" t="str">
        <f ca="1">IFERROR(__xludf.DUMMYFUNCTION("""COMPUTED_VALUE"""),"ПРОДУКТОВЫЙ, БАЗОВЫЙ")</f>
        <v>ПРОДУКТОВЫЙ, БАЗОВЫЙ</v>
      </c>
      <c r="C323" s="4" t="str">
        <f ca="1">IFERROR(__xludf.DUMMYFUNCTION("""COMPUTED_VALUE"""),"RTL15AG-SHMGSTORE52")</f>
        <v>RTL15AG-SHMGSTORE52</v>
      </c>
      <c r="D323" s="4" t="str">
        <f ca="1">IFERROR(__xludf.DUMMYFUNCTION("""COMPUTED_VALUE"""),"Mobile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"&amp;"через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3" s="4" t="str">
        <f ca="1">IFERROR(__xludf.DUMMYFUNCTION("""COMPUTED_VALUE"""),"Mobile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</v>
      </c>
      <c r="F323" s="5">
        <f ca="1">IFERROR(__xludf.DUMMYFUNCTION("""COMPUTED_VALUE"""),14550)</f>
        <v>14550</v>
      </c>
    </row>
    <row r="324" spans="1:6" ht="86.25" customHeight="1" x14ac:dyDescent="0.2">
      <c r="A324" s="4" t="str">
        <f ca="1">IFERROR(__xludf.DUMMYFUNCTION("""COMPUTED_VALUE"""),"«Штрих-М: Продуктовый магазин 5.2»")</f>
        <v>«Штрих-М: Продуктовый магазин 5.2»</v>
      </c>
      <c r="B324" s="4" t="str">
        <f ca="1">IFERROR(__xludf.DUMMYFUNCTION("""COMPUTED_VALUE"""),"ПРОДУКТОВЫЙ, РАСШИРЕННЫЙ")</f>
        <v>ПРОДУКТОВЫЙ, РАСШИРЕННЫЙ</v>
      </c>
      <c r="C324" s="4" t="str">
        <f ca="1">IFERROR(__xludf.DUMMYFUNCTION("""COMPUTED_VALUE"""),"RTL15BG-SHMGSTORE52")</f>
        <v>RTL15BG-SHMGSTORE52</v>
      </c>
      <c r="D324" s="4" t="str">
        <f ca="1">IFERROR(__xludf.DUMMYFUNCTION("""COMPUTED_VALUE"""),"Mobile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об"&amp;"мен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4" s="4" t="str">
        <f ca="1">IFERROR(__xludf.DUMMYFUNCTION("""COMPUTED_VALUE"""),"Mobile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</v>
      </c>
      <c r="F324" s="5">
        <f ca="1">IFERROR(__xludf.DUMMYFUNCTION("""COMPUTED_VALUE"""),20950)</f>
        <v>20950</v>
      </c>
    </row>
    <row r="325" spans="1:6" ht="86.25" customHeight="1" x14ac:dyDescent="0.2">
      <c r="A325" s="4" t="str">
        <f ca="1">IFERROR(__xludf.DUMMYFUNCTION("""COMPUTED_VALUE"""),"«Штрих-М: Продуктовый магазин 5.2»")</f>
        <v>«Штрих-М: Продуктовый магазин 5.2»</v>
      </c>
      <c r="B325" s="4" t="str">
        <f ca="1">IFERROR(__xludf.DUMMYFUNCTION("""COMPUTED_VALUE"""),"ПРОДУКТОВЫЙ, МЕГАМАРКЕТ")</f>
        <v>ПРОДУКТОВЫЙ, МЕГАМАРКЕТ</v>
      </c>
      <c r="C325" s="4" t="str">
        <f ca="1">IFERROR(__xludf.DUMMYFUNCTION("""COMPUTED_VALUE"""),"RTL15CG-SHMGSTORE52")</f>
        <v>RTL15CG-SHMGSTORE52</v>
      </c>
      <c r="D325" s="4" t="str">
        <f ca="1">IFERROR(__xludf.DUMMYFUNCTION("""COMPUTED_VALUE"""),"Mobile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зака"&amp;"за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5" s="4" t="str">
        <f ca="1">IFERROR(__xludf.DUMMYFUNCTION("""COMPUTED_VALUE"""),"Mobile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</v>
      </c>
      <c r="F325" s="5">
        <f ca="1">IFERROR(__xludf.DUMMYFUNCTION("""COMPUTED_VALUE"""),28250)</f>
        <v>28250</v>
      </c>
    </row>
    <row r="326" spans="1:6" ht="86.25" customHeight="1" x14ac:dyDescent="0.2">
      <c r="A326" s="4" t="str">
        <f ca="1">IFERROR(__xludf.DUMMYFUNCTION("""COMPUTED_VALUE"""),"«Штрих-М: Торговое предприятие 7.0»")</f>
        <v>«Штрих-М: Торговое предприятие 7.0»</v>
      </c>
      <c r="B326" s="4" t="str">
        <f ca="1">IFERROR(__xludf.DUMMYFUNCTION("""COMPUTED_VALUE"""),"МИНИМУМ")</f>
        <v>МИНИМУМ</v>
      </c>
      <c r="C326" s="4" t="str">
        <f ca="1">IFERROR(__xludf.DUMMYFUNCTION("""COMPUTED_VALUE"""),"RTL15M-SHMTORG70")</f>
        <v>RTL15M-SHMTORG70</v>
      </c>
      <c r="D326" s="4" t="str">
        <f ca="1">IFERROR(__xludf.DUMMYFUNCTION("""COMPUTED_VALUE"""),"Mobile SMARTS: Магазин 15, МИНИМУМ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товаро"&amp;"в,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(од"&amp;"ин) год")</f>
        <v>Mobile SMARTS: Магазин 15, МИНИМУМ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26" s="4" t="str">
        <f ca="1">IFERROR(__xludf.DUMMYFUNCTION("""COMPUTED_VALUE"""),"Mobile SMARTS: Магазин 15, МИНИМУМ для «Штрих-М: Торговое предприятие 7.0», для работы с товаром по штрихкодам ")</f>
        <v xml:space="preserve">Mobile SMARTS: Магазин 15, МИНИМУМ для «Штрих-М: Торговое предприятие 7.0», для работы с товаром по штрихкодам </v>
      </c>
      <c r="F326" s="5">
        <f ca="1">IFERROR(__xludf.DUMMYFUNCTION("""COMPUTED_VALUE"""),3450)</f>
        <v>3450</v>
      </c>
    </row>
    <row r="327" spans="1:6" ht="86.25" customHeight="1" x14ac:dyDescent="0.2">
      <c r="A327" s="4" t="str">
        <f ca="1">IFERROR(__xludf.DUMMYFUNCTION("""COMPUTED_VALUE"""),"«Штрих-М: Торговое предприятие 7.0»")</f>
        <v>«Штрих-М: Торговое предприятие 7.0»</v>
      </c>
      <c r="B327" s="4" t="str">
        <f ca="1">IFERROR(__xludf.DUMMYFUNCTION("""COMPUTED_VALUE"""),"БАЗОВЫЙ")</f>
        <v>БАЗОВЫЙ</v>
      </c>
      <c r="C327" s="4" t="str">
        <f ca="1">IFERROR(__xludf.DUMMYFUNCTION("""COMPUTED_VALUE"""),"RTL15A-SHMTORG70")</f>
        <v>RTL15A-SHMTORG70</v>
      </c>
      <c r="D327" s="4" t="str">
        <f ca="1">IFERROR(__xludf.DUMMYFUNCTION("""COMPUTED_VALUE"""),"Mobile SMARTS: Магазин 15, БАЗОВЫЙ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"&amp;"с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7" s="4" t="str">
        <f ca="1">IFERROR(__xludf.DUMMYFUNCTION("""COMPUTED_VALUE"""),"Mobile SMARTS: Магазин 15, БАЗОВЫЙ для «Штрих-М: Торговое предприятие 7.0», для работы с товаром по штрихкодам ")</f>
        <v xml:space="preserve">Mobile SMARTS: Магазин 15, БАЗОВЫЙ для «Штрих-М: Торговое предприятие 7.0», для работы с товаром по штрихкодам </v>
      </c>
      <c r="F327" s="5">
        <f ca="1">IFERROR(__xludf.DUMMYFUNCTION("""COMPUTED_VALUE"""),8650)</f>
        <v>8650</v>
      </c>
    </row>
    <row r="328" spans="1:6" ht="86.25" customHeight="1" x14ac:dyDescent="0.2">
      <c r="A328" s="4" t="str">
        <f ca="1">IFERROR(__xludf.DUMMYFUNCTION("""COMPUTED_VALUE"""),"«Штрих-М: Торговое предприятие 7.0»")</f>
        <v>«Штрих-М: Торговое предприятие 7.0»</v>
      </c>
      <c r="B328" s="4" t="str">
        <f ca="1">IFERROR(__xludf.DUMMYFUNCTION("""COMPUTED_VALUE"""),"РАСШИРЕННЫЙ")</f>
        <v>РАСШИРЕННЫЙ</v>
      </c>
      <c r="C328" s="4" t="str">
        <f ca="1">IFERROR(__xludf.DUMMYFUNCTION("""COMPUTED_VALUE"""),"RTL15B-SHMTORG70")</f>
        <v>RTL15B-SHMTORG70</v>
      </c>
      <c r="D328" s="4" t="str">
        <f ca="1">IFERROR(__xludf.DUMMYFUNCTION("""COMPUTED_VALUE"""),"Mobile SMARTS: Магазин 15, РАСШИРЕННЫЙ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8" s="4" t="str">
        <f ca="1">IFERROR(__xludf.DUMMYFUNCTION("""COMPUTED_VALUE"""),"Mobile SMARTS: Магазин 15, РАСШИРЕННЫЙ для «Штрих-М: Торговое предприятие 7.0», для работы с товаром по штрихкодам ")</f>
        <v xml:space="preserve">Mobile SMARTS: Магазин 15, РАСШИРЕННЫЙ для «Штрих-М: Торговое предприятие 7.0», для работы с товаром по штрихкодам </v>
      </c>
      <c r="F328" s="5">
        <f ca="1">IFERROR(__xludf.DUMMYFUNCTION("""COMPUTED_VALUE"""),15050)</f>
        <v>15050</v>
      </c>
    </row>
    <row r="329" spans="1:6" ht="86.25" customHeight="1" x14ac:dyDescent="0.2">
      <c r="A329" s="4" t="str">
        <f ca="1">IFERROR(__xludf.DUMMYFUNCTION("""COMPUTED_VALUE"""),"«Штрих-М: Торговое предприятие 7.0»")</f>
        <v>«Штрих-М: Торговое предприятие 7.0»</v>
      </c>
      <c r="B329" s="4" t="str">
        <f ca="1">IFERROR(__xludf.DUMMYFUNCTION("""COMPUTED_VALUE"""),"МЕГАМАРКЕТ")</f>
        <v>МЕГАМАРКЕТ</v>
      </c>
      <c r="C329" s="4" t="str">
        <f ca="1">IFERROR(__xludf.DUMMYFUNCTION("""COMPUTED_VALUE"""),"RTL15C-SHMTORG70")</f>
        <v>RTL15C-SHMTORG70</v>
      </c>
      <c r="D329" s="4" t="str">
        <f ca="1">IFERROR(__xludf.DUMMYFUNCTION("""COMPUTED_VALUE"""),"Mobile SMARTS: Магазин 15, МЕГАМАРКЕТ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9" s="4" t="str">
        <f ca="1">IFERROR(__xludf.DUMMYFUNCTION("""COMPUTED_VALUE"""),"Mobile SMARTS: Магазин 15, МЕГАМАРКЕТ для «Штрих-М: Торговое предприятие 7.0», для работы с товаром по штрихкодам ")</f>
        <v xml:space="preserve">Mobile SMARTS: Магазин 15, МЕГАМАРКЕТ для «Штрих-М: Торговое предприятие 7.0», для работы с товаром по штрихкодам </v>
      </c>
      <c r="F329" s="5">
        <f ca="1">IFERROR(__xludf.DUMMYFUNCTION("""COMPUTED_VALUE"""),21550)</f>
        <v>21550</v>
      </c>
    </row>
    <row r="330" spans="1:6" ht="86.25" customHeight="1" x14ac:dyDescent="0.2">
      <c r="A330" s="4" t="str">
        <f ca="1">IFERROR(__xludf.DUMMYFUNCTION("""COMPUTED_VALUE"""),"«Штрих-М: Торговое предприятие 7.0»")</f>
        <v>«Штрих-М: Торговое предприятие 7.0»</v>
      </c>
      <c r="B330" s="4" t="str">
        <f ca="1">IFERROR(__xludf.DUMMYFUNCTION("""COMPUTED_VALUE"""),"с ЕГАИС, БАЗОВЫЙ")</f>
        <v>с ЕГАИС, БАЗОВЫЙ</v>
      </c>
      <c r="C330" s="4" t="str">
        <f ca="1">IFERROR(__xludf.DUMMYFUNCTION("""COMPUTED_VALUE"""),"RTL15AE-SHMTORG70")</f>
        <v>RTL15AE-SHMTORG70</v>
      </c>
      <c r="D330" s="4" t="str">
        <f ca="1">IFERROR(__xludf.DUMMYFUNCTION("""COMPUTED_VALUE"""),"Mobile SMARTS: Магазин 15 с ЕГАИС, БАЗОВЫЙ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с"&amp;"бор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информ"&amp;"ация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30" s="4" t="str">
        <f ca="1">IFERROR(__xludf.DUMMYFUNCTION("""COMPUTED_VALUE"""),"Mobile SMARTS: Магазин 15 с ЕГАИС, БАЗОВЫЙ для «Штрих-М: Торговое предприятие 7.0», для работы с маркированным товаром: алкоголь ЕГАИС и товары по штрихкодам ")</f>
        <v xml:space="preserve">Mobile SMARTS: Магазин 15 с ЕГАИС, БАЗОВЫЙ для «Штрих-М: Торговое предприятие 7.0», для работы с маркированным товаром: алкоголь ЕГАИС и товары по штрихкодам </v>
      </c>
      <c r="F330" s="5">
        <f ca="1">IFERROR(__xludf.DUMMYFUNCTION("""COMPUTED_VALUE"""),11000)</f>
        <v>11000</v>
      </c>
    </row>
    <row r="331" spans="1:6" ht="86.25" customHeight="1" x14ac:dyDescent="0.2">
      <c r="A331" s="4" t="str">
        <f ca="1">IFERROR(__xludf.DUMMYFUNCTION("""COMPUTED_VALUE"""),"«Штрих-М: Торговое предприятие 7.0»")</f>
        <v>«Штрих-М: Торговое предприятие 7.0»</v>
      </c>
      <c r="B331" s="4" t="str">
        <f ca="1">IFERROR(__xludf.DUMMYFUNCTION("""COMPUTED_VALUE"""),"с ЕГАИС, РАСШИРЕННЫЙ")</f>
        <v>с ЕГАИС, РАСШИРЕННЫЙ</v>
      </c>
      <c r="C331" s="4" t="str">
        <f ca="1">IFERROR(__xludf.DUMMYFUNCTION("""COMPUTED_VALUE"""),"RTL15BE-SHMTORG70")</f>
        <v>RTL15BE-SHMTORG70</v>
      </c>
      <c r="D331" s="4" t="str">
        <f ca="1">IFERROR(__xludf.DUMMYFUNCTION("""COMPUTED_VALUE"""),"Mobile SMARTS: Магазин 15 с ЕГАИС, РАСШИРЕННЫЙ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1" s="4" t="str">
        <f ca="1">IFERROR(__xludf.DUMMYFUNCTION("""COMPUTED_VALUE"""),"Mobile SMARTS: Магазин 15 с ЕГАИС, РАСШИРЕННЫЙ для «Штрих-М: Торговое предприятие 7.0», для работы с маркированным товаром: алкоголь ЕГАИС и товары по штрихкодам ")</f>
        <v xml:space="preserve">Mobile SMARTS: Магазин 15 с ЕГАИС, РАСШИРЕННЫЙ для «Штрих-М: Торговое предприятие 7.0», для работы с маркированным товаром: алкоголь ЕГАИС и товары по штрихкодам </v>
      </c>
      <c r="F331" s="5">
        <f ca="1">IFERROR(__xludf.DUMMYFUNCTION("""COMPUTED_VALUE"""),17450)</f>
        <v>17450</v>
      </c>
    </row>
    <row r="332" spans="1:6" ht="86.25" customHeight="1" x14ac:dyDescent="0.2">
      <c r="A332" s="4" t="str">
        <f ca="1">IFERROR(__xludf.DUMMYFUNCTION("""COMPUTED_VALUE"""),"«Штрих-М: Торговое предприятие 7.0»")</f>
        <v>«Штрих-М: Торговое предприятие 7.0»</v>
      </c>
      <c r="B332" s="4" t="str">
        <f ca="1">IFERROR(__xludf.DUMMYFUNCTION("""COMPUTED_VALUE"""),"с ЕГАИС (без CheckMark2), МЕГАМАРКЕТ")</f>
        <v>с ЕГАИС (без CheckMark2), МЕГАМАРКЕТ</v>
      </c>
      <c r="C332" s="4" t="str">
        <f ca="1">IFERROR(__xludf.DUMMYFUNCTION("""COMPUTED_VALUE"""),"RTL15CEV-SHMTORG70")</f>
        <v>RTL15CEV-SHMTORG70</v>
      </c>
      <c r="D332" s="4" t="str">
        <f ca="1">IFERROR(__xludf.DUMMYFUNCTION("""COMPUTED_VALUE"""),"Mobile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 ОНЛАЙН / д"&amp;"оступные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ра"&amp;"бота,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об"&amp;"мен через Интернет на 1 (один) год")</f>
        <v>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2" s="4" t="str">
        <f ca="1">IFERROR(__xludf.DUMMYFUNCTION("""COMPUTED_VALUE"""),"Mobile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")</f>
        <v xml:space="preserve">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</v>
      </c>
      <c r="F332" s="5">
        <f ca="1">IFERROR(__xludf.DUMMYFUNCTION("""COMPUTED_VALUE"""),23850)</f>
        <v>23850</v>
      </c>
    </row>
    <row r="333" spans="1:6" ht="86.25" customHeight="1" x14ac:dyDescent="0.2">
      <c r="A333" s="4" t="str">
        <f ca="1">IFERROR(__xludf.DUMMYFUNCTION("""COMPUTED_VALUE"""),"«Штрих-М: Торговое предприятие 7.0»")</f>
        <v>«Штрих-М: Торговое предприятие 7.0»</v>
      </c>
      <c r="B333" s="4" t="str">
        <f ca="1">IFERROR(__xludf.DUMMYFUNCTION("""COMPUTED_VALUE"""),"с МОТП, БАЗОВЫЙ")</f>
        <v>с МОТП, БАЗОВЫЙ</v>
      </c>
      <c r="C333" s="4" t="str">
        <f ca="1">IFERROR(__xludf.DUMMYFUNCTION("""COMPUTED_VALUE"""),"RTL15AT-SHMTORG70")</f>
        <v>RTL15AT-SHMTORG70</v>
      </c>
      <c r="D333" s="4" t="str">
        <f ca="1">IFERROR(__xludf.DUMMYFUNCTION("""COMPUTED_VALUE"""),"Mobile SMARTS: Магазин 15 с МОТП, БАЗОВЫЙ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поступление"&amp;"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3" s="4" t="str">
        <f ca="1">IFERROR(__xludf.DUMMYFUNCTION("""COMPUTED_VALUE"""),"Mobile SMARTS: Магазин 15 с МОТП, БАЗОВЫЙ для «Штрих-М: Торговое предприятие 7.0», для работы с маркированным товаром: ТАБАК и товары по штрихкодам ")</f>
        <v xml:space="preserve">Mobile SMARTS: Магазин 15 с МОТП, БАЗОВЫЙ для «Штрих-М: Торговое предприятие 7.0», для работы с маркированным товаром: ТАБАК и товары по штрихкодам </v>
      </c>
      <c r="F333" s="5">
        <f ca="1">IFERROR(__xludf.DUMMYFUNCTION("""COMPUTED_VALUE"""),11150)</f>
        <v>11150</v>
      </c>
    </row>
    <row r="334" spans="1:6" ht="86.25" customHeight="1" x14ac:dyDescent="0.2">
      <c r="A334" s="4" t="str">
        <f ca="1">IFERROR(__xludf.DUMMYFUNCTION("""COMPUTED_VALUE"""),"«Штрих-М: Торговое предприятие 7.0»")</f>
        <v>«Штрих-М: Торговое предприятие 7.0»</v>
      </c>
      <c r="B334" s="4" t="str">
        <f ca="1">IFERROR(__xludf.DUMMYFUNCTION("""COMPUTED_VALUE"""),"с МОТП, РАСШИРЕННЫЙ")</f>
        <v>с МОТП, РАСШИРЕННЫЙ</v>
      </c>
      <c r="C334" s="4" t="str">
        <f ca="1">IFERROR(__xludf.DUMMYFUNCTION("""COMPUTED_VALUE"""),"RTL15BT-SHMTORG70")</f>
        <v>RTL15BT-SHMTORG70</v>
      </c>
      <c r="D334" s="4" t="str">
        <f ca="1">IFERROR(__xludf.DUMMYFUNCTION("""COMPUTED_VALUE"""),"Mobile SMARTS: Магазин 15 с МОТП, РАСШИРЕННЫЙ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поступл"&amp;"ение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информ"&amp;"ация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4" s="4" t="str">
        <f ca="1">IFERROR(__xludf.DUMMYFUNCTION("""COMPUTED_VALUE"""),"Mobile SMARTS: Магазин 15 с МОТП, РАСШИРЕННЫЙ для «Штрих-М: Торговое предприятие 7.0», для работы с маркированным товаром: ТАБАК и товары по штрихкодам ")</f>
        <v xml:space="preserve">Mobile SMARTS: Магазин 15 с МОТП, РАСШИРЕННЫЙ для «Штрих-М: Торговое предприятие 7.0», для работы с маркированным товаром: ТАБАК и товары по штрихкодам </v>
      </c>
      <c r="F334" s="5">
        <f ca="1">IFERROR(__xludf.DUMMYFUNCTION("""COMPUTED_VALUE"""),17450)</f>
        <v>17450</v>
      </c>
    </row>
    <row r="335" spans="1:6" ht="86.25" customHeight="1" x14ac:dyDescent="0.2">
      <c r="A335" s="4" t="str">
        <f ca="1">IFERROR(__xludf.DUMMYFUNCTION("""COMPUTED_VALUE"""),"«Штрих-М: Торговое предприятие 7.0»")</f>
        <v>«Штрих-М: Торговое предприятие 7.0»</v>
      </c>
      <c r="B335" s="4" t="str">
        <f ca="1">IFERROR(__xludf.DUMMYFUNCTION("""COMPUTED_VALUE"""),"с МОТП, МЕГАМАРКЕТ")</f>
        <v>с МОТП, МЕГАМАРКЕТ</v>
      </c>
      <c r="C335" s="4" t="str">
        <f ca="1">IFERROR(__xludf.DUMMYFUNCTION("""COMPUTED_VALUE"""),"RTL15CT-SHMTORG70")</f>
        <v>RTL15CT-SHMTORG70</v>
      </c>
      <c r="D335" s="4" t="str">
        <f ca="1">IFERROR(__xludf.DUMMYFUNCTION("""COMPUTED_VALUE"""),"Mobile SMARTS: Магазин 15 с МОТП, МЕГАМАРКЕТ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поступле"&amp;"ние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коллект"&amp;"ивная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н"&amp;"а 1 (один) год")</f>
        <v>Mobile SMARTS: Магазин 15 с МОТП, МЕГАМАРКЕТ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5" s="4" t="str">
        <f ca="1">IFERROR(__xludf.DUMMYFUNCTION("""COMPUTED_VALUE"""),"Mobile SMARTS: Магазин 15 с МОТП, МЕГАМАРКЕТ для «Штрих-М: Торговое предприятие 7.0», для работы с маркированным товаром: ТАБАК и товары по штрихкодам ")</f>
        <v xml:space="preserve">Mobile SMARTS: Магазин 15 с МОТП, МЕГАМАРКЕТ для «Штрих-М: Торговое предприятие 7.0», для работы с маркированным товаром: ТАБАК и товары по штрихкодам </v>
      </c>
      <c r="F335" s="5">
        <f ca="1">IFERROR(__xludf.DUMMYFUNCTION("""COMPUTED_VALUE"""),23850)</f>
        <v>23850</v>
      </c>
    </row>
    <row r="336" spans="1:6" ht="86.25" customHeight="1" x14ac:dyDescent="0.2">
      <c r="A336" s="4" t="str">
        <f ca="1">IFERROR(__xludf.DUMMYFUNCTION("""COMPUTED_VALUE"""),"«Штрих-М: Торговое предприятие 7.0»")</f>
        <v>«Штрих-М: Торговое предприятие 7.0»</v>
      </c>
      <c r="B336" s="4" t="str">
        <f ca="1">IFERROR(__xludf.DUMMYFUNCTION("""COMPUTED_VALUE"""),"с ЕГАИС и МОТП, БАЗОВЫЙ")</f>
        <v>с ЕГАИС и МОТП, БАЗОВЫЙ</v>
      </c>
      <c r="C336" s="4" t="str">
        <f ca="1">IFERROR(__xludf.DUMMYFUNCTION("""COMPUTED_VALUE"""),"RTL15AET-SHMTORG70")</f>
        <v>RTL15AET-SHMTORG70</v>
      </c>
      <c r="D336" s="4" t="str">
        <f ca="1">IFERROR(__xludf.DUMMYFUNCTION("""COMPUTED_VALUE"""),"Mobile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опе"&amp;"рации: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/"&amp;"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6" s="4" t="str">
        <f ca="1">IFERROR(__xludf.DUMMYFUNCTION("""COMPUTED_VALUE"""),"Mobile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")</f>
        <v xml:space="preserve">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</v>
      </c>
      <c r="F336" s="5">
        <f ca="1">IFERROR(__xludf.DUMMYFUNCTION("""COMPUTED_VALUE"""),12150)</f>
        <v>12150</v>
      </c>
    </row>
    <row r="337" spans="1:6" ht="86.25" customHeight="1" x14ac:dyDescent="0.2">
      <c r="A337" s="4" t="str">
        <f ca="1">IFERROR(__xludf.DUMMYFUNCTION("""COMPUTED_VALUE"""),"«Штрих-М: Торговое предприятие 7.0»")</f>
        <v>«Штрих-М: Торговое предприятие 7.0»</v>
      </c>
      <c r="B337" s="4" t="str">
        <f ca="1">IFERROR(__xludf.DUMMYFUNCTION("""COMPUTED_VALUE"""),"с ЕГАИС и МОТП, РАСШИРЕННЫЙ")</f>
        <v>с ЕГАИС и МОТП, РАСШИРЕННЫЙ</v>
      </c>
      <c r="C337" s="4" t="str">
        <f ca="1">IFERROR(__xludf.DUMMYFUNCTION("""COMPUTED_VALUE"""),"RTL15BET-SHMTORG70")</f>
        <v>RTL15BET-SHMTORG70</v>
      </c>
      <c r="D337" s="4" t="str">
        <f ca="1">IFERROR(__xludf.DUMMYFUNCTION("""COMPUTED_VALUE"""),"Mobile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доступные"&amp;"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операц"&amp;"ий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7" s="4" t="str">
        <f ca="1">IFERROR(__xludf.DUMMYFUNCTION("""COMPUTED_VALUE"""),"Mobile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")</f>
        <v xml:space="preserve">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</v>
      </c>
      <c r="F337" s="5">
        <f ca="1">IFERROR(__xludf.DUMMYFUNCTION("""COMPUTED_VALUE"""),18550)</f>
        <v>18550</v>
      </c>
    </row>
    <row r="338" spans="1:6" ht="86.25" customHeight="1" x14ac:dyDescent="0.2">
      <c r="A338" s="4" t="str">
        <f ca="1">IFERROR(__xludf.DUMMYFUNCTION("""COMPUTED_VALUE"""),"«Штрих-М: Торговое предприятие 7.0»")</f>
        <v>«Штрих-М: Торговое предприятие 7.0»</v>
      </c>
      <c r="B338" s="4" t="str">
        <f ca="1">IFERROR(__xludf.DUMMYFUNCTION("""COMPUTED_VALUE"""),"с ЕГАИС и МОТП, МЕГАМАРКЕТ")</f>
        <v>с ЕГАИС и МОТП, МЕГАМАРКЕТ</v>
      </c>
      <c r="C338" s="4" t="str">
        <f ca="1">IFERROR(__xludf.DUMMYFUNCTION("""COMPUTED_VALUE"""),"RTL15CET-SHMTORG70")</f>
        <v>RTL15CET-SHMTORG70</v>
      </c>
      <c r="D338" s="4" t="str">
        <f ca="1">IFERROR(__xludf.DUMMYFUNCTION("""COMPUTED_VALUE"""),"Mobile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изменение"&amp;"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8" s="4" t="str">
        <f ca="1">IFERROR(__xludf.DUMMYFUNCTION("""COMPUTED_VALUE"""),"Mobile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")</f>
        <v xml:space="preserve">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</v>
      </c>
      <c r="F338" s="5">
        <f ca="1">IFERROR(__xludf.DUMMYFUNCTION("""COMPUTED_VALUE"""),26350)</f>
        <v>26350</v>
      </c>
    </row>
    <row r="339" spans="1:6" ht="86.25" customHeight="1" x14ac:dyDescent="0.2">
      <c r="A339" s="4" t="str">
        <f ca="1">IFERROR(__xludf.DUMMYFUNCTION("""COMPUTED_VALUE"""),"«Штрих-М: Торговое предприятие 7.0»")</f>
        <v>«Штрих-М: Торговое предприятие 7.0»</v>
      </c>
      <c r="B339" s="4" t="str">
        <f ca="1">IFERROR(__xludf.DUMMYFUNCTION("""COMPUTED_VALUE"""),"ШМОТКИ, БАЗОВЫЙ")</f>
        <v>ШМОТКИ, БАЗОВЫЙ</v>
      </c>
      <c r="C339" s="4" t="str">
        <f ca="1">IFERROR(__xludf.DUMMYFUNCTION("""COMPUTED_VALUE"""),"RTL15AK-SHMTORG70")</f>
        <v>RTL15AK-SHMTORG70</v>
      </c>
      <c r="D339" s="4" t="str">
        <f ca="1">IFERROR(__xludf.DUMMYFUNCTION("""COMPUTED_VALUE"""),"Mobile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доступные"&amp;"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в"&amp;"озможности: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"&amp;"1 (один) год")</f>
        <v>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9" s="4" t="str">
        <f ca="1">IFERROR(__xludf.DUMMYFUNCTION("""COMPUTED_VALUE"""),"Mobile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")</f>
        <v xml:space="preserve">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</v>
      </c>
      <c r="F339" s="5">
        <f ca="1">IFERROR(__xludf.DUMMYFUNCTION("""COMPUTED_VALUE"""),12150)</f>
        <v>12150</v>
      </c>
    </row>
    <row r="340" spans="1:6" ht="86.25" customHeight="1" x14ac:dyDescent="0.2">
      <c r="A340" s="4" t="str">
        <f ca="1">IFERROR(__xludf.DUMMYFUNCTION("""COMPUTED_VALUE"""),"«Штрих-М: Торговое предприятие 7.0»")</f>
        <v>«Штрих-М: Торговое предприятие 7.0»</v>
      </c>
      <c r="B340" s="4" t="str">
        <f ca="1">IFERROR(__xludf.DUMMYFUNCTION("""COMPUTED_VALUE"""),"ШМОТКИ, РАСШИРЕННЫЙ")</f>
        <v>ШМОТКИ, РАСШИРЕННЫЙ</v>
      </c>
      <c r="C340" s="4" t="str">
        <f ca="1">IFERROR(__xludf.DUMMYFUNCTION("""COMPUTED_VALUE"""),"RTL15BK-SHMTORG70")</f>
        <v>RTL15BK-SHMTORG70</v>
      </c>
      <c r="D340" s="4" t="str">
        <f ca="1">IFERROR(__xludf.DUMMYFUNCTION("""COMPUTED_VALUE"""),"Mobile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досту"&amp;"пные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QR-кодов"&amp;"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Интернет"&amp;" на 1 (один) год")</f>
        <v>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0" s="4" t="str">
        <f ca="1">IFERROR(__xludf.DUMMYFUNCTION("""COMPUTED_VALUE"""),"Mobile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")</f>
        <v xml:space="preserve">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</v>
      </c>
      <c r="F340" s="5">
        <f ca="1">IFERROR(__xludf.DUMMYFUNCTION("""COMPUTED_VALUE"""),18550)</f>
        <v>18550</v>
      </c>
    </row>
    <row r="341" spans="1:6" ht="86.25" customHeight="1" x14ac:dyDescent="0.2">
      <c r="A341" s="4" t="str">
        <f ca="1">IFERROR(__xludf.DUMMYFUNCTION("""COMPUTED_VALUE"""),"«Штрих-М: Торговое предприятие 7.0»")</f>
        <v>«Штрих-М: Торговое предприятие 7.0»</v>
      </c>
      <c r="B341" s="4" t="str">
        <f ca="1">IFERROR(__xludf.DUMMYFUNCTION("""COMPUTED_VALUE"""),"ШМОТКИ, МЕГАМАРКЕТ")</f>
        <v>ШМОТКИ, МЕГАМАРКЕТ</v>
      </c>
      <c r="C341" s="4" t="str">
        <f ca="1">IFERROR(__xludf.DUMMYFUNCTION("""COMPUTED_VALUE"""),"RTL15CK-SHMTORG70")</f>
        <v>RTL15CK-SHMTORG70</v>
      </c>
      <c r="D341" s="4" t="str">
        <f ca="1">IFERROR(__xludf.DUMMYFUNCTION("""COMPUTED_VALUE"""),"Mobile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доступ"&amp;"ные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"&amp;"/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1" s="4" t="str">
        <f ca="1">IFERROR(__xludf.DUMMYFUNCTION("""COMPUTED_VALUE"""),"Mobile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")</f>
        <v xml:space="preserve">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</v>
      </c>
      <c r="F341" s="5">
        <f ca="1">IFERROR(__xludf.DUMMYFUNCTION("""COMPUTED_VALUE"""),26350)</f>
        <v>26350</v>
      </c>
    </row>
    <row r="342" spans="1:6" ht="86.25" customHeight="1" x14ac:dyDescent="0.2">
      <c r="A342" s="4" t="str">
        <f ca="1">IFERROR(__xludf.DUMMYFUNCTION("""COMPUTED_VALUE"""),"«Штрих-М: Торговое предприятие 7.0»")</f>
        <v>«Штрих-М: Торговое предприятие 7.0»</v>
      </c>
      <c r="B342" s="4" t="str">
        <f ca="1">IFERROR(__xludf.DUMMYFUNCTION("""COMPUTED_VALUE"""),"ПРОДУКТОВЫЙ, БАЗОВЫЙ")</f>
        <v>ПРОДУКТОВЫЙ, БАЗОВЫЙ</v>
      </c>
      <c r="C342" s="4" t="str">
        <f ca="1">IFERROR(__xludf.DUMMYFUNCTION("""COMPUTED_VALUE"""),"RTL15AG-SHMTORG70")</f>
        <v>RTL15AG-SHMTORG70</v>
      </c>
      <c r="D342" s="4" t="str">
        <f ca="1">IFERROR(__xludf.DUMMYFUNCTION("""COMPUTED_VALUE"""),"Mobile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обмен"&amp;"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заказа"&amp;"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2" s="4" t="str">
        <f ca="1">IFERROR(__xludf.DUMMYFUNCTION("""COMPUTED_VALUE"""),"Mobile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</v>
      </c>
      <c r="F342" s="5">
        <f ca="1">IFERROR(__xludf.DUMMYFUNCTION("""COMPUTED_VALUE"""),14550)</f>
        <v>14550</v>
      </c>
    </row>
    <row r="343" spans="1:6" ht="86.25" customHeight="1" x14ac:dyDescent="0.2">
      <c r="A343" s="4" t="str">
        <f ca="1">IFERROR(__xludf.DUMMYFUNCTION("""COMPUTED_VALUE"""),"«Штрих-М: Торговое предприятие 7.0»")</f>
        <v>«Штрих-М: Торговое предприятие 7.0»</v>
      </c>
      <c r="B343" s="4" t="str">
        <f ca="1">IFERROR(__xludf.DUMMYFUNCTION("""COMPUTED_VALUE"""),"ПРОДУКТОВЫЙ, РАСШИРЕННЫЙ")</f>
        <v>ПРОДУКТОВЫЙ, РАСШИРЕННЫЙ</v>
      </c>
      <c r="C343" s="4" t="str">
        <f ca="1">IFERROR(__xludf.DUMMYFUNCTION("""COMPUTED_VALUE"""),"RTL15BG-SHMTORG70")</f>
        <v>RTL15BG-SHMTORG70</v>
      </c>
      <c r="D343" s="4" t="str">
        <f ca="1">IFERROR(__xludf.DUMMYFUNCTION("""COMPUTED_VALUE"""),"Mobile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о"&amp;"бмен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за"&amp;"каза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3" s="4" t="str">
        <f ca="1">IFERROR(__xludf.DUMMYFUNCTION("""COMPUTED_VALUE"""),"Mobile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</v>
      </c>
      <c r="F343" s="5">
        <f ca="1">IFERROR(__xludf.DUMMYFUNCTION("""COMPUTED_VALUE"""),20950)</f>
        <v>20950</v>
      </c>
    </row>
    <row r="344" spans="1:6" ht="86.25" customHeight="1" x14ac:dyDescent="0.2">
      <c r="A344" s="4" t="str">
        <f ca="1">IFERROR(__xludf.DUMMYFUNCTION("""COMPUTED_VALUE"""),"«Штрих-М: Торговое предприятие 7.0»")</f>
        <v>«Штрих-М: Торговое предприятие 7.0»</v>
      </c>
      <c r="B344" s="4" t="str">
        <f ca="1">IFERROR(__xludf.DUMMYFUNCTION("""COMPUTED_VALUE"""),"ПРОДУКТОВЫЙ, МЕГАМАРКЕТ")</f>
        <v>ПРОДУКТОВЫЙ, МЕГАМАРКЕТ</v>
      </c>
      <c r="C344" s="4" t="str">
        <f ca="1">IFERROR(__xludf.DUMMYFUNCTION("""COMPUTED_VALUE"""),"RTL15CG-SHMTORG70")</f>
        <v>RTL15CG-SHMTORG70</v>
      </c>
      <c r="D344" s="4" t="str">
        <f ca="1">IFERROR(__xludf.DUMMYFUNCTION("""COMPUTED_VALUE"""),"Mobile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об"&amp;"мен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контраг"&amp;"ентах,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4" s="4" t="str">
        <f ca="1">IFERROR(__xludf.DUMMYFUNCTION("""COMPUTED_VALUE"""),"Mobile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</v>
      </c>
      <c r="F344" s="5">
        <f ca="1">IFERROR(__xludf.DUMMYFUNCTION("""COMPUTED_VALUE"""),28250)</f>
        <v>28250</v>
      </c>
    </row>
    <row r="345" spans="1:6" ht="86.25" customHeight="1" x14ac:dyDescent="0.2">
      <c r="A345" s="4" t="str">
        <f ca="1">IFERROR(__xludf.DUMMYFUNCTION("""COMPUTED_VALUE"""),"«Штрих-М: Розничная торговля 5.2»")</f>
        <v>«Штрих-М: Розничная торговля 5.2»</v>
      </c>
      <c r="B345" s="4" t="str">
        <f ca="1">IFERROR(__xludf.DUMMYFUNCTION("""COMPUTED_VALUE"""),"МИНИМУМ")</f>
        <v>МИНИМУМ</v>
      </c>
      <c r="C345" s="4" t="str">
        <f ca="1">IFERROR(__xludf.DUMMYFUNCTION("""COMPUTED_VALUE"""),"RTL15M-SHMRTL52")</f>
        <v>RTL15M-SHMRTL52</v>
      </c>
      <c r="D345" s="4" t="str">
        <f ca="1">IFERROR(__xludf.DUMMYFUNCTION("""COMPUTED_VALUE"""),"Mobile SMARTS: Магазин 15, МИНИМУМ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товаров,"&amp;"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(один"&amp;") год")</f>
        <v>Mobile SMARTS: Магазин 15, МИНИМУМ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45" s="4" t="str">
        <f ca="1">IFERROR(__xludf.DUMMYFUNCTION("""COMPUTED_VALUE"""),"Mobile SMARTS: Магазин 15, МИНИМУМ для «Штрих-М: Розничная торговля 5.2», для работы с товаром по штрихкодам ")</f>
        <v xml:space="preserve">Mobile SMARTS: Магазин 15, МИНИМУМ для «Штрих-М: Розничная торговля 5.2», для работы с товаром по штрихкодам </v>
      </c>
      <c r="F345" s="5">
        <f ca="1">IFERROR(__xludf.DUMMYFUNCTION("""COMPUTED_VALUE"""),3450)</f>
        <v>3450</v>
      </c>
    </row>
    <row r="346" spans="1:6" ht="86.25" customHeight="1" x14ac:dyDescent="0.2">
      <c r="A346" s="4" t="str">
        <f ca="1">IFERROR(__xludf.DUMMYFUNCTION("""COMPUTED_VALUE"""),"«Штрих-М: Розничная торговля 5.2»")</f>
        <v>«Штрих-М: Розничная торговля 5.2»</v>
      </c>
      <c r="B346" s="4" t="str">
        <f ca="1">IFERROR(__xludf.DUMMYFUNCTION("""COMPUTED_VALUE"""),"БАЗОВЫЙ")</f>
        <v>БАЗОВЫЙ</v>
      </c>
      <c r="C346" s="4" t="str">
        <f ca="1">IFERROR(__xludf.DUMMYFUNCTION("""COMPUTED_VALUE"""),"RTL15A-SHMRTL52")</f>
        <v>RTL15A-SHMRTL52</v>
      </c>
      <c r="D346" s="4" t="str">
        <f ca="1">IFERROR(__xludf.DUMMYFUNCTION("""COMPUTED_VALUE"""),"Mobile SMARTS: Магазин 15, БАЗОВЫЙ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"&amp;"печатью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существующ"&amp;"их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6" s="4" t="str">
        <f ca="1">IFERROR(__xludf.DUMMYFUNCTION("""COMPUTED_VALUE"""),"Mobile SMARTS: Магазин 15, БАЗОВЫЙ для «Штрих-М: Розничная торговля 5.2», для работы с товаром по штрихкодам ")</f>
        <v xml:space="preserve">Mobile SMARTS: Магазин 15, БАЗОВЫЙ для «Штрих-М: Розничная торговля 5.2», для работы с товаром по штрихкодам </v>
      </c>
      <c r="F346" s="5">
        <f ca="1">IFERROR(__xludf.DUMMYFUNCTION("""COMPUTED_VALUE"""),8650)</f>
        <v>8650</v>
      </c>
    </row>
    <row r="347" spans="1:6" ht="86.25" customHeight="1" x14ac:dyDescent="0.2">
      <c r="A347" s="4" t="str">
        <f ca="1">IFERROR(__xludf.DUMMYFUNCTION("""COMPUTED_VALUE"""),"«Штрих-М: Розничная торговля 5.2»")</f>
        <v>«Штрих-М: Розничная торговля 5.2»</v>
      </c>
      <c r="B347" s="4" t="str">
        <f ca="1">IFERROR(__xludf.DUMMYFUNCTION("""COMPUTED_VALUE"""),"РАСШИРЕННЫЙ")</f>
        <v>РАСШИРЕННЫЙ</v>
      </c>
      <c r="C347" s="4" t="str">
        <f ca="1">IFERROR(__xludf.DUMMYFUNCTION("""COMPUTED_VALUE"""),"RTL15B-SHMRTL52")</f>
        <v>RTL15B-SHMRTL52</v>
      </c>
      <c r="D347" s="4" t="str">
        <f ca="1">IFERROR(__xludf.DUMMYFUNCTION("""COMPUTED_VALUE"""),"Mobile SMARTS: Магазин 15, РАСШИРЕННЫЙ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т.ч"&amp;".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7" s="4" t="str">
        <f ca="1">IFERROR(__xludf.DUMMYFUNCTION("""COMPUTED_VALUE"""),"Mobile SMARTS: Магазин 15, РАСШИРЕННЫЙ для «Штрих-М: Розничная торговля 5.2», для работы с товаром по штрихкодам ")</f>
        <v xml:space="preserve">Mobile SMARTS: Магазин 15, РАСШИРЕННЫЙ для «Штрих-М: Розничная торговля 5.2», для работы с товаром по штрихкодам </v>
      </c>
      <c r="F347" s="5">
        <f ca="1">IFERROR(__xludf.DUMMYFUNCTION("""COMPUTED_VALUE"""),15050)</f>
        <v>15050</v>
      </c>
    </row>
    <row r="348" spans="1:6" ht="86.25" customHeight="1" x14ac:dyDescent="0.2">
      <c r="A348" s="4" t="str">
        <f ca="1">IFERROR(__xludf.DUMMYFUNCTION("""COMPUTED_VALUE"""),"«Штрих-М: Розничная торговля 5.2»")</f>
        <v>«Штрих-М: Розничная торговля 5.2»</v>
      </c>
      <c r="B348" s="4" t="str">
        <f ca="1">IFERROR(__xludf.DUMMYFUNCTION("""COMPUTED_VALUE"""),"МЕГАМАРКЕТ")</f>
        <v>МЕГАМАРКЕТ</v>
      </c>
      <c r="C348" s="4" t="str">
        <f ca="1">IFERROR(__xludf.DUMMYFUNCTION("""COMPUTED_VALUE"""),"RTL15C-SHMRTL52")</f>
        <v>RTL15C-SHMRTL52</v>
      </c>
      <c r="D348" s="4" t="str">
        <f ca="1">IFERROR(__xludf.DUMMYFUNCTION("""COMPUTED_VALUE"""),"Mobile SMARTS: Магазин 15, МЕГАМАРКЕТ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т.ч."&amp;"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экран"&amp;"е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8" s="4" t="str">
        <f ca="1">IFERROR(__xludf.DUMMYFUNCTION("""COMPUTED_VALUE"""),"Mobile SMARTS: Магазин 15, МЕГАМАРКЕТ для «Штрих-М: Розничная торговля 5.2», для работы с товаром по штрихкодам ")</f>
        <v xml:space="preserve">Mobile SMARTS: Магазин 15, МЕГАМАРКЕТ для «Штрих-М: Розничная торговля 5.2», для работы с товаром по штрихкодам </v>
      </c>
      <c r="F348" s="5">
        <f ca="1">IFERROR(__xludf.DUMMYFUNCTION("""COMPUTED_VALUE"""),21550)</f>
        <v>21550</v>
      </c>
    </row>
    <row r="349" spans="1:6" ht="86.25" customHeight="1" x14ac:dyDescent="0.2">
      <c r="A349" s="4" t="str">
        <f ca="1">IFERROR(__xludf.DUMMYFUNCTION("""COMPUTED_VALUE"""),"«Штрих-М: Розничная торговля 5.2»")</f>
        <v>«Штрих-М: Розничная торговля 5.2»</v>
      </c>
      <c r="B349" s="4" t="str">
        <f ca="1">IFERROR(__xludf.DUMMYFUNCTION("""COMPUTED_VALUE"""),"с ЕГАИС, БАЗОВЫЙ")</f>
        <v>с ЕГАИС, БАЗОВЫЙ</v>
      </c>
      <c r="C349" s="4" t="str">
        <f ca="1">IFERROR(__xludf.DUMMYFUNCTION("""COMPUTED_VALUE"""),"RTL15AE-SHMRTL52")</f>
        <v>RTL15AE-SHMRTL52</v>
      </c>
      <c r="D349" s="4" t="str">
        <f ca="1">IFERROR(__xludf.DUMMYFUNCTION("""COMPUTED_VALUE"""),"Mobile SMARTS: Магазин 15 с ЕГАИС, БАЗОВЫЙ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сбо"&amp;"р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информац"&amp;"ия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49" s="4" t="str">
        <f ca="1">IFERROR(__xludf.DUMMYFUNCTION("""COMPUTED_VALUE"""),"Mobile SMARTS: Магазин 15 с ЕГАИС, БАЗОВЫЙ для «Штрих-М: Розничная торговля 5.2», для работы с маркированным товаром: алкоголь ЕГАИС и товары по штрихкодам ")</f>
        <v xml:space="preserve">Mobile SMARTS: Магазин 15 с ЕГАИС, БАЗОВЫЙ для «Штрих-М: Розничная торговля 5.2», для работы с маркированным товаром: алкоголь ЕГАИС и товары по штрихкодам </v>
      </c>
      <c r="F349" s="5">
        <f ca="1">IFERROR(__xludf.DUMMYFUNCTION("""COMPUTED_VALUE"""),11000)</f>
        <v>11000</v>
      </c>
    </row>
    <row r="350" spans="1:6" ht="86.25" customHeight="1" x14ac:dyDescent="0.2">
      <c r="A350" s="4" t="str">
        <f ca="1">IFERROR(__xludf.DUMMYFUNCTION("""COMPUTED_VALUE"""),"«Штрих-М: Розничная торговля 5.2»")</f>
        <v>«Штрих-М: Розничная торговля 5.2»</v>
      </c>
      <c r="B350" s="4" t="str">
        <f ca="1">IFERROR(__xludf.DUMMYFUNCTION("""COMPUTED_VALUE"""),"с ЕГАИС, РАСШИРЕННЫЙ")</f>
        <v>с ЕГАИС, РАСШИРЕННЫЙ</v>
      </c>
      <c r="C350" s="4" t="str">
        <f ca="1">IFERROR(__xludf.DUMMYFUNCTION("""COMPUTED_VALUE"""),"RTL15BE-SHMRTL52")</f>
        <v>RTL15BE-SHMRTL52</v>
      </c>
      <c r="D350" s="4" t="str">
        <f ca="1">IFERROR(__xludf.DUMMYFUNCTION("""COMPUTED_VALUE"""),"Mobile SMARTS: Магазин 15 с ЕГАИС, РАСШИРЕННЫЙ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операции:"&amp;"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инфо"&amp;"рмация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0" s="4" t="str">
        <f ca="1">IFERROR(__xludf.DUMMYFUNCTION("""COMPUTED_VALUE"""),"Mobile SMARTS: Магазин 15 с ЕГАИС, РАСШИРЕННЫЙ для «Штрих-М: Розничная торговля 5.2», для работы с маркированным товаром: алкоголь ЕГАИС и товары по штрихкодам ")</f>
        <v xml:space="preserve">Mobile SMARTS: Магазин 15 с ЕГАИС, РАСШИРЕННЫЙ для «Штрих-М: Розничная торговля 5.2», для работы с маркированным товаром: алкоголь ЕГАИС и товары по штрихкодам </v>
      </c>
      <c r="F350" s="5">
        <f ca="1">IFERROR(__xludf.DUMMYFUNCTION("""COMPUTED_VALUE"""),17450)</f>
        <v>17450</v>
      </c>
    </row>
    <row r="351" spans="1:6" ht="86.25" customHeight="1" x14ac:dyDescent="0.2">
      <c r="A351" s="4" t="str">
        <f ca="1">IFERROR(__xludf.DUMMYFUNCTION("""COMPUTED_VALUE"""),"«Штрих-М: Розничная торговля 5.2»")</f>
        <v>«Штрих-М: Розничная торговля 5.2»</v>
      </c>
      <c r="B351" s="4" t="str">
        <f ca="1">IFERROR(__xludf.DUMMYFUNCTION("""COMPUTED_VALUE"""),"с ЕГАИС (без CheckMark2), МЕГАМАРКЕТ")</f>
        <v>с ЕГАИС (без CheckMark2), МЕГАМАРКЕТ</v>
      </c>
      <c r="C351" s="4" t="str">
        <f ca="1">IFERROR(__xludf.DUMMYFUNCTION("""COMPUTED_VALUE"""),"RTL15CEV-SHMRTL52")</f>
        <v>RTL15CEV-SHMRTL52</v>
      </c>
      <c r="D351" s="4" t="str">
        <f ca="1">IFERROR(__xludf.DUMMYFUNCTION("""COMPUTED_VALUE"""),"Mobile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дос"&amp;"тупные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рабо"&amp;"та,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обме"&amp;"н через Интернет на 1 (один) год")</f>
        <v>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1" s="4" t="str">
        <f ca="1">IFERROR(__xludf.DUMMYFUNCTION("""COMPUTED_VALUE"""),"Mobile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")</f>
        <v xml:space="preserve">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</v>
      </c>
      <c r="F351" s="5">
        <f ca="1">IFERROR(__xludf.DUMMYFUNCTION("""COMPUTED_VALUE"""),23850)</f>
        <v>23850</v>
      </c>
    </row>
    <row r="352" spans="1:6" ht="86.25" customHeight="1" x14ac:dyDescent="0.2">
      <c r="A352" s="4" t="str">
        <f ca="1">IFERROR(__xludf.DUMMYFUNCTION("""COMPUTED_VALUE"""),"«Штрих-М: Розничная торговля 5.2»")</f>
        <v>«Штрих-М: Розничная торговля 5.2»</v>
      </c>
      <c r="B352" s="4" t="str">
        <f ca="1">IFERROR(__xludf.DUMMYFUNCTION("""COMPUTED_VALUE"""),"с МОТП, БАЗОВЫЙ")</f>
        <v>с МОТП, БАЗОВЫЙ</v>
      </c>
      <c r="C352" s="4" t="str">
        <f ca="1">IFERROR(__xludf.DUMMYFUNCTION("""COMPUTED_VALUE"""),"RTL15AT-SHMRTL52")</f>
        <v>RTL15AT-SHMRTL52</v>
      </c>
      <c r="D352" s="4" t="str">
        <f ca="1">IFERROR(__xludf.DUMMYFUNCTION("""COMPUTED_VALUE"""),"Mobile SMARTS: Магазин 15 с МОТП, БАЗОВЫЙ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("&amp;"в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2" s="4" t="str">
        <f ca="1">IFERROR(__xludf.DUMMYFUNCTION("""COMPUTED_VALUE"""),"Mobile SMARTS: Магазин 15 с МОТП, БАЗОВЫЙ для «Штрих-М: Розничная торговля 5.2», для работы с маркированным товаром: ТАБАК и товары по штрихкодам ")</f>
        <v xml:space="preserve">Mobile SMARTS: Магазин 15 с МОТП, БАЗОВЫЙ для «Штрих-М: Розничная торговля 5.2», для работы с маркированным товаром: ТАБАК и товары по штрихкодам </v>
      </c>
      <c r="F352" s="5">
        <f ca="1">IFERROR(__xludf.DUMMYFUNCTION("""COMPUTED_VALUE"""),11150)</f>
        <v>11150</v>
      </c>
    </row>
    <row r="353" spans="1:6" ht="86.25" customHeight="1" x14ac:dyDescent="0.2">
      <c r="A353" s="4" t="str">
        <f ca="1">IFERROR(__xludf.DUMMYFUNCTION("""COMPUTED_VALUE"""),"«Штрих-М: Розничная торговля 5.2»")</f>
        <v>«Штрих-М: Розничная торговля 5.2»</v>
      </c>
      <c r="B353" s="4" t="str">
        <f ca="1">IFERROR(__xludf.DUMMYFUNCTION("""COMPUTED_VALUE"""),"с МОТП, РАСШИРЕННЫЙ")</f>
        <v>с МОТП, РАСШИРЕННЫЙ</v>
      </c>
      <c r="C353" s="4" t="str">
        <f ca="1">IFERROR(__xludf.DUMMYFUNCTION("""COMPUTED_VALUE"""),"RTL15BT-SHMRTL52")</f>
        <v>RTL15BT-SHMRTL52</v>
      </c>
      <c r="D353" s="4" t="str">
        <f ca="1">IFERROR(__xludf.DUMMYFUNCTION("""COMPUTED_VALUE"""),"Mobile SMARTS: Магазин 15 с МОТП, РАСШИРЕННЫЙ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поступлен"&amp;"ие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информац"&amp;"ия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3" s="4" t="str">
        <f ca="1">IFERROR(__xludf.DUMMYFUNCTION("""COMPUTED_VALUE"""),"Mobile SMARTS: Магазин 15 с МОТП, РАСШИРЕННЫЙ для «Штрих-М: Розничная торговля 5.2», для работы с маркированным товаром: ТАБАК и товары по штрихкодам ")</f>
        <v xml:space="preserve">Mobile SMARTS: Магазин 15 с МОТП, РАСШИРЕННЫЙ для «Штрих-М: Розничная торговля 5.2», для работы с маркированным товаром: ТАБАК и товары по штрихкодам </v>
      </c>
      <c r="F353" s="5">
        <f ca="1">IFERROR(__xludf.DUMMYFUNCTION("""COMPUTED_VALUE"""),17450)</f>
        <v>17450</v>
      </c>
    </row>
    <row r="354" spans="1:6" ht="86.25" customHeight="1" x14ac:dyDescent="0.2">
      <c r="A354" s="4" t="str">
        <f ca="1">IFERROR(__xludf.DUMMYFUNCTION("""COMPUTED_VALUE"""),"«Штрих-М: Розничная торговля 5.2»")</f>
        <v>«Штрих-М: Розничная торговля 5.2»</v>
      </c>
      <c r="B354" s="4" t="str">
        <f ca="1">IFERROR(__xludf.DUMMYFUNCTION("""COMPUTED_VALUE"""),"с МОТП, МЕГАМАРКЕТ")</f>
        <v>с МОТП, МЕГАМАРКЕТ</v>
      </c>
      <c r="C354" s="4" t="str">
        <f ca="1">IFERROR(__xludf.DUMMYFUNCTION("""COMPUTED_VALUE"""),"RTL15CT-SHMRTL52")</f>
        <v>RTL15CT-SHMRTL52</v>
      </c>
      <c r="D354" s="4" t="str">
        <f ca="1">IFERROR(__xludf.DUMMYFUNCTION("""COMPUTED_VALUE"""),"Mobile SMARTS: Магазин 15 с МОТП, МЕГАМАРКЕТ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поступлени"&amp;"е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коллектив"&amp;"ная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"&amp;"1 (один) год")</f>
        <v>Mobile SMARTS: Магазин 15 с МОТП, МЕГАМАРКЕТ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4" s="4" t="str">
        <f ca="1">IFERROR(__xludf.DUMMYFUNCTION("""COMPUTED_VALUE"""),"Mobile SMARTS: Магазин 15 с МОТП, МЕГАМАРКЕТ для «Штрих-М: Розничная торговля 5.2», для работы с маркированным товаром: ТАБАК и товары по штрихкодам ")</f>
        <v xml:space="preserve">Mobile SMARTS: Магазин 15 с МОТП, МЕГАМАРКЕТ для «Штрих-М: Розничная торговля 5.2», для работы с маркированным товаром: ТАБАК и товары по штрихкодам </v>
      </c>
      <c r="F354" s="5">
        <f ca="1">IFERROR(__xludf.DUMMYFUNCTION("""COMPUTED_VALUE"""),23850)</f>
        <v>23850</v>
      </c>
    </row>
    <row r="355" spans="1:6" ht="86.25" customHeight="1" x14ac:dyDescent="0.2">
      <c r="A355" s="4" t="str">
        <f ca="1">IFERROR(__xludf.DUMMYFUNCTION("""COMPUTED_VALUE"""),"«Штрих-М: Розничная торговля 5.2»")</f>
        <v>«Штрих-М: Розничная торговля 5.2»</v>
      </c>
      <c r="B355" s="4" t="str">
        <f ca="1">IFERROR(__xludf.DUMMYFUNCTION("""COMPUTED_VALUE"""),"с ЕГАИС и МОТП, БАЗОВЫЙ")</f>
        <v>с ЕГАИС и МОТП, БАЗОВЫЙ</v>
      </c>
      <c r="C355" s="4" t="str">
        <f ca="1">IFERROR(__xludf.DUMMYFUNCTION("""COMPUTED_VALUE"""),"RTL15AET-SHMRTL52")</f>
        <v>RTL15AET-SHMRTL52</v>
      </c>
      <c r="D355" s="4" t="str">
        <f ca="1">IFERROR(__xludf.DUMMYFUNCTION("""COMPUTED_VALUE"""),"Mobile SMARTS: Магазин 15 с ЕГАИС и МОТП, БАЗОВЫЙ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опера"&amp;"ции: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штр"&amp;"ихкодов,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в"&amp;"озможность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5" s="4" t="str">
        <f ca="1">IFERROR(__xludf.DUMMYFUNCTION("""COMPUTED_VALUE"""),"Mobile SMARTS: Магазин 15 с ЕГАИС и МОТП, БАЗОВЫЙ для «Штрих-М: Розничная торговля 5.2», для работы с маркированным товаром: АЛКОГОЛЬ, ТАБАК и товары по штрихкодам ")</f>
        <v xml:space="preserve">Mobile SMARTS: Магазин 15 с ЕГАИС и МОТП, БАЗОВЫЙ для «Штрих-М: Розничная торговля 5.2», для работы с маркированным товаром: АЛКОГОЛЬ, ТАБАК и товары по штрихкодам </v>
      </c>
      <c r="F355" s="5">
        <f ca="1">IFERROR(__xludf.DUMMYFUNCTION("""COMPUTED_VALUE"""),12150)</f>
        <v>12150</v>
      </c>
    </row>
    <row r="356" spans="1:6" ht="86.25" customHeight="1" x14ac:dyDescent="0.2">
      <c r="A356" s="4" t="str">
        <f ca="1">IFERROR(__xludf.DUMMYFUNCTION("""COMPUTED_VALUE"""),"«Штрих-М: Розничная торговля 5.2»")</f>
        <v>«Штрих-М: Розничная торговля 5.2»</v>
      </c>
      <c r="B356" s="4" t="str">
        <f ca="1">IFERROR(__xludf.DUMMYFUNCTION("""COMPUTED_VALUE"""),"с ЕГАИС и МОТП, РАСШИРЕННЫЙ")</f>
        <v>с ЕГАИС и МОТП, РАСШИРЕННЫЙ</v>
      </c>
      <c r="C356" s="4" t="str">
        <f ca="1">IFERROR(__xludf.DUMMYFUNCTION("""COMPUTED_VALUE"""),"RTL15BET-SHMRTL52")</f>
        <v>RTL15BET-SHMRTL52</v>
      </c>
      <c r="D356" s="4" t="str">
        <f ca="1">IFERROR(__xludf.DUMMYFUNCTION("""COMPUTED_VALUE"""),"Mobile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о"&amp;"перации: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операций"&amp;"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6" s="4" t="str">
        <f ca="1">IFERROR(__xludf.DUMMYFUNCTION("""COMPUTED_VALUE"""),"Mobile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")</f>
        <v xml:space="preserve">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</v>
      </c>
      <c r="F356" s="5">
        <f ca="1">IFERROR(__xludf.DUMMYFUNCTION("""COMPUTED_VALUE"""),18550)</f>
        <v>18550</v>
      </c>
    </row>
    <row r="357" spans="1:6" ht="86.25" customHeight="1" x14ac:dyDescent="0.2">
      <c r="A357" s="4" t="str">
        <f ca="1">IFERROR(__xludf.DUMMYFUNCTION("""COMPUTED_VALUE"""),"«Штрих-М: Розничная торговля 5.2»")</f>
        <v>«Штрих-М: Розничная торговля 5.2»</v>
      </c>
      <c r="B357" s="4" t="str">
        <f ca="1">IFERROR(__xludf.DUMMYFUNCTION("""COMPUTED_VALUE"""),"с ЕГАИС и МОТП, МЕГАМАРКЕТ")</f>
        <v>с ЕГАИС и МОТП, МЕГАМАРКЕТ</v>
      </c>
      <c r="C357" s="4" t="str">
        <f ca="1">IFERROR(__xludf.DUMMYFUNCTION("""COMPUTED_VALUE"""),"RTL15CET-SHMRTL52")</f>
        <v>RTL15CET-SHMRTL52</v>
      </c>
      <c r="D357" s="4" t="str">
        <f ca="1">IFERROR(__xludf.DUMMYFUNCTION("""COMPUTED_VALUE"""),"Mobile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оп"&amp;"ерации: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"&amp;"штрихкодов,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7" s="4" t="str">
        <f ca="1">IFERROR(__xludf.DUMMYFUNCTION("""COMPUTED_VALUE"""),"Mobile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")</f>
        <v xml:space="preserve">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</v>
      </c>
      <c r="F357" s="5">
        <f ca="1">IFERROR(__xludf.DUMMYFUNCTION("""COMPUTED_VALUE"""),26350)</f>
        <v>26350</v>
      </c>
    </row>
    <row r="358" spans="1:6" ht="86.25" customHeight="1" x14ac:dyDescent="0.2">
      <c r="A358" s="4" t="str">
        <f ca="1">IFERROR(__xludf.DUMMYFUNCTION("""COMPUTED_VALUE"""),"«Штрих-М: Розничная торговля 5.2»")</f>
        <v>«Штрих-М: Розничная торговля 5.2»</v>
      </c>
      <c r="B358" s="4" t="str">
        <f ca="1">IFERROR(__xludf.DUMMYFUNCTION("""COMPUTED_VALUE"""),"ШМОТКИ, БАЗОВЫЙ")</f>
        <v>ШМОТКИ, БАЗОВЫЙ</v>
      </c>
      <c r="C358" s="4" t="str">
        <f ca="1">IFERROR(__xludf.DUMMYFUNCTION("""COMPUTED_VALUE"""),"RTL15AK-SHMRTL52")</f>
        <v>RTL15AK-SHMRTL52</v>
      </c>
      <c r="D358" s="4" t="str">
        <f ca="1">IFERROR(__xludf.DUMMYFUNCTION("""COMPUTED_VALUE"""),"Mobile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8" s="4" t="str">
        <f ca="1">IFERROR(__xludf.DUMMYFUNCTION("""COMPUTED_VALUE"""),"Mobile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")</f>
        <v xml:space="preserve">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</v>
      </c>
      <c r="F358" s="5">
        <f ca="1">IFERROR(__xludf.DUMMYFUNCTION("""COMPUTED_VALUE"""),12150)</f>
        <v>12150</v>
      </c>
    </row>
    <row r="359" spans="1:6" ht="86.25" customHeight="1" x14ac:dyDescent="0.2">
      <c r="A359" s="4" t="str">
        <f ca="1">IFERROR(__xludf.DUMMYFUNCTION("""COMPUTED_VALUE"""),"«Штрих-М: Розничная торговля 5.2»")</f>
        <v>«Штрих-М: Розничная торговля 5.2»</v>
      </c>
      <c r="B359" s="4" t="str">
        <f ca="1">IFERROR(__xludf.DUMMYFUNCTION("""COMPUTED_VALUE"""),"ШМОТКИ, РАСШИРЕННЫЙ")</f>
        <v>ШМОТКИ, РАСШИРЕННЫЙ</v>
      </c>
      <c r="C359" s="4" t="str">
        <f ca="1">IFERROR(__xludf.DUMMYFUNCTION("""COMPUTED_VALUE"""),"RTL15BK-SHMRTL52")</f>
        <v>RTL15BK-SHMRTL52</v>
      </c>
      <c r="D359" s="4" t="str">
        <f ca="1">IFERROR(__xludf.DUMMYFUNCTION("""COMPUTED_VALUE"""),"Mobile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доступн"&amp;"ые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/"&amp;"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н"&amp;"а 1 (один) год")</f>
        <v>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9" s="4" t="str">
        <f ca="1">IFERROR(__xludf.DUMMYFUNCTION("""COMPUTED_VALUE"""),"Mobile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")</f>
        <v xml:space="preserve">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</v>
      </c>
      <c r="F359" s="5">
        <f ca="1">IFERROR(__xludf.DUMMYFUNCTION("""COMPUTED_VALUE"""),18550)</f>
        <v>18550</v>
      </c>
    </row>
    <row r="360" spans="1:6" ht="86.25" customHeight="1" x14ac:dyDescent="0.2">
      <c r="A360" s="4" t="str">
        <f ca="1">IFERROR(__xludf.DUMMYFUNCTION("""COMPUTED_VALUE"""),"«Штрих-М: Розничная торговля 5.2»")</f>
        <v>«Штрих-М: Розничная торговля 5.2»</v>
      </c>
      <c r="B360" s="4" t="str">
        <f ca="1">IFERROR(__xludf.DUMMYFUNCTION("""COMPUTED_VALUE"""),"ШМОТКИ, МЕГАМАРКЕТ")</f>
        <v>ШМОТКИ, МЕГАМАРКЕТ</v>
      </c>
      <c r="C360" s="4" t="str">
        <f ca="1">IFERROR(__xludf.DUMMYFUNCTION("""COMPUTED_VALUE"""),"RTL15CK-SHMRTL52")</f>
        <v>RTL15CK-SHMRTL52</v>
      </c>
      <c r="D360" s="4" t="str">
        <f ca="1">IFERROR(__xludf.DUMMYFUNCTION("""COMPUTED_VALUE"""),"Mobile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доступны"&amp;"е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"&amp;"возможности: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об"&amp;"мен через Интернет на 1 (один) год")</f>
        <v>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0" s="4" t="str">
        <f ca="1">IFERROR(__xludf.DUMMYFUNCTION("""COMPUTED_VALUE"""),"Mobile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")</f>
        <v xml:space="preserve">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</v>
      </c>
      <c r="F360" s="5">
        <f ca="1">IFERROR(__xludf.DUMMYFUNCTION("""COMPUTED_VALUE"""),26350)</f>
        <v>26350</v>
      </c>
    </row>
    <row r="361" spans="1:6" ht="86.25" customHeight="1" x14ac:dyDescent="0.2">
      <c r="A361" s="4" t="str">
        <f ca="1">IFERROR(__xludf.DUMMYFUNCTION("""COMPUTED_VALUE"""),"«Штрих-М: Розничная торговля 5.2»")</f>
        <v>«Штрих-М: Розничная торговля 5.2»</v>
      </c>
      <c r="B361" s="4" t="str">
        <f ca="1">IFERROR(__xludf.DUMMYFUNCTION("""COMPUTED_VALUE"""),"ПРОДУКТОВЫЙ, БАЗОВЫЙ")</f>
        <v>ПРОДУКТОВЫЙ, БАЗОВЫЙ</v>
      </c>
      <c r="C361" s="4" t="str">
        <f ca="1">IFERROR(__xludf.DUMMYFUNCTION("""COMPUTED_VALUE"""),"RTL15AG-SHMRTL52")</f>
        <v>RTL15AG-SHMRTL52</v>
      </c>
      <c r="D361" s="4" t="str">
        <f ca="1">IFERROR(__xludf.DUMMYFUNCTION("""COMPUTED_VALUE"""),"Mobile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ч"&amp;"ерез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("&amp;"в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на"&amp;"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1" s="4" t="str">
        <f ca="1">IFERROR(__xludf.DUMMYFUNCTION("""COMPUTED_VALUE"""),"Mobile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</v>
      </c>
      <c r="F361" s="5">
        <f ca="1">IFERROR(__xludf.DUMMYFUNCTION("""COMPUTED_VALUE"""),14550)</f>
        <v>14550</v>
      </c>
    </row>
    <row r="362" spans="1:6" ht="86.25" customHeight="1" x14ac:dyDescent="0.2">
      <c r="A362" s="4" t="str">
        <f ca="1">IFERROR(__xludf.DUMMYFUNCTION("""COMPUTED_VALUE"""),"«Штрих-М: Розничная торговля 5.2»")</f>
        <v>«Штрих-М: Розничная торговля 5.2»</v>
      </c>
      <c r="B362" s="4" t="str">
        <f ca="1">IFERROR(__xludf.DUMMYFUNCTION("""COMPUTED_VALUE"""),"ПРОДУКТОВЫЙ, РАСШИРЕННЫЙ")</f>
        <v>ПРОДУКТОВЫЙ, РАСШИРЕННЫЙ</v>
      </c>
      <c r="C362" s="4" t="str">
        <f ca="1">IFERROR(__xludf.DUMMYFUNCTION("""COMPUTED_VALUE"""),"RTL15BG-SHMRTL52")</f>
        <v>RTL15BG-SHMRTL52</v>
      </c>
      <c r="D362" s="4" t="str">
        <f ca="1">IFERROR(__xludf.DUMMYFUNCTION("""COMPUTED_VALUE"""),"Mobile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зака"&amp;"за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2" s="4" t="str">
        <f ca="1">IFERROR(__xludf.DUMMYFUNCTION("""COMPUTED_VALUE"""),"Mobile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</v>
      </c>
      <c r="F362" s="5">
        <f ca="1">IFERROR(__xludf.DUMMYFUNCTION("""COMPUTED_VALUE"""),20950)</f>
        <v>20950</v>
      </c>
    </row>
    <row r="363" spans="1:6" ht="86.25" customHeight="1" x14ac:dyDescent="0.2">
      <c r="A363" s="4" t="str">
        <f ca="1">IFERROR(__xludf.DUMMYFUNCTION("""COMPUTED_VALUE"""),"«Штрих-М: Розничная торговля 5.2»")</f>
        <v>«Штрих-М: Розничная торговля 5.2»</v>
      </c>
      <c r="B363" s="4" t="str">
        <f ca="1">IFERROR(__xludf.DUMMYFUNCTION("""COMPUTED_VALUE"""),"ПРОДУКТОВЫЙ, МЕГАМАРКЕТ")</f>
        <v>ПРОДУКТОВЫЙ, МЕГАМАРКЕТ</v>
      </c>
      <c r="C363" s="4" t="str">
        <f ca="1">IFERROR(__xludf.DUMMYFUNCTION("""COMPUTED_VALUE"""),"RTL15CG-SHMRTL52")</f>
        <v>RTL15CG-SHMRTL52</v>
      </c>
      <c r="D363" s="4" t="str">
        <f ca="1">IFERROR(__xludf.DUMMYFUNCTION("""COMPUTED_VALUE"""),"Mobile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обме"&amp;"н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заказ"&amp;"а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контраген"&amp;"тах,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3" s="4" t="str">
        <f ca="1">IFERROR(__xludf.DUMMYFUNCTION("""COMPUTED_VALUE"""),"Mobile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</v>
      </c>
      <c r="F363" s="5">
        <f ca="1">IFERROR(__xludf.DUMMYFUNCTION("""COMPUTED_VALUE"""),28250)</f>
        <v>28250</v>
      </c>
    </row>
    <row r="364" spans="1:6" ht="86.25" customHeight="1" x14ac:dyDescent="0.2">
      <c r="A364" s="4" t="str">
        <f ca="1">IFERROR(__xludf.DUMMYFUNCTION("""COMPUTED_VALUE"""),"«Штрих-М: Магазин 5.2»")</f>
        <v>«Штрих-М: Магазин 5.2»</v>
      </c>
      <c r="B364" s="4" t="str">
        <f ca="1">IFERROR(__xludf.DUMMYFUNCTION("""COMPUTED_VALUE"""),"МИНИМУМ")</f>
        <v>МИНИМУМ</v>
      </c>
      <c r="C364" s="4" t="str">
        <f ca="1">IFERROR(__xludf.DUMMYFUNCTION("""COMPUTED_VALUE"""),"RTL15M-SHMSTORE52")</f>
        <v>RTL15M-SHMSTORE52</v>
      </c>
      <c r="D364" s="4" t="str">
        <f ca="1">IFERROR(__xludf.DUMMYFUNCTION("""COMPUTED_VALUE"""),"Mobile SMARTS: Магазин 15, МИНИМУМ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настройка,"&amp;"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64" s="4" t="str">
        <f ca="1">IFERROR(__xludf.DUMMYFUNCTION("""COMPUTED_VALUE"""),"Mobile SMARTS: Магазин 15, МИНИМУМ для «Штрих-М: Магазин 5.2», для работы с товаром по штрихкодам ")</f>
        <v xml:space="preserve">Mobile SMARTS: Магазин 15, МИНИМУМ для «Штрих-М: Магазин 5.2», для работы с товаром по штрихкодам </v>
      </c>
      <c r="F364" s="5">
        <f ca="1">IFERROR(__xludf.DUMMYFUNCTION("""COMPUTED_VALUE"""),3450)</f>
        <v>3450</v>
      </c>
    </row>
    <row r="365" spans="1:6" ht="86.25" customHeight="1" x14ac:dyDescent="0.2">
      <c r="A365" s="4" t="str">
        <f ca="1">IFERROR(__xludf.DUMMYFUNCTION("""COMPUTED_VALUE"""),"«Штрих-М: Магазин 5.2»")</f>
        <v>«Штрих-М: Магазин 5.2»</v>
      </c>
      <c r="B365" s="4" t="str">
        <f ca="1">IFERROR(__xludf.DUMMYFUNCTION("""COMPUTED_VALUE"""),"БАЗОВЫЙ")</f>
        <v>БАЗОВЫЙ</v>
      </c>
      <c r="C365" s="4" t="str">
        <f ca="1">IFERROR(__xludf.DUMMYFUNCTION("""COMPUTED_VALUE"""),"RTL15A-SHMSTORE52")</f>
        <v>RTL15A-SHMSTORE52</v>
      </c>
      <c r="D365" s="4" t="str">
        <f ca="1">IFERROR(__xludf.DUMMYFUNCTION("""COMPUTED_VALUE"""),"Mobile SMARTS: Магазин 15, БАЗОВЫЙ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"&amp;"мобильный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операций"&amp;"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5" s="4" t="str">
        <f ca="1">IFERROR(__xludf.DUMMYFUNCTION("""COMPUTED_VALUE"""),"Mobile SMARTS: Магазин 15, БАЗОВЫЙ для «Штрих-М: Магазин 5.2», для работы с товаром по штрихкодам ")</f>
        <v xml:space="preserve">Mobile SMARTS: Магазин 15, БАЗОВЫЙ для «Штрих-М: Магазин 5.2», для работы с товаром по штрихкодам </v>
      </c>
      <c r="F365" s="5">
        <f ca="1">IFERROR(__xludf.DUMMYFUNCTION("""COMPUTED_VALUE"""),8650)</f>
        <v>8650</v>
      </c>
    </row>
    <row r="366" spans="1:6" ht="86.25" customHeight="1" x14ac:dyDescent="0.2">
      <c r="A366" s="4" t="str">
        <f ca="1">IFERROR(__xludf.DUMMYFUNCTION("""COMPUTED_VALUE"""),"«Штрих-М: Магазин 5.2»")</f>
        <v>«Штрих-М: Магазин 5.2»</v>
      </c>
      <c r="B366" s="4" t="str">
        <f ca="1">IFERROR(__xludf.DUMMYFUNCTION("""COMPUTED_VALUE"""),"РАСШИРЕННЫЙ")</f>
        <v>РАСШИРЕННЫЙ</v>
      </c>
      <c r="C366" s="4" t="str">
        <f ca="1">IFERROR(__xludf.DUMMYFUNCTION("""COMPUTED_VALUE"""),"RTL15B-SHMSTORE52")</f>
        <v>RTL15B-SHMSTORE52</v>
      </c>
      <c r="D366" s="4" t="str">
        <f ca="1">IFERROR(__xludf.DUMMYFUNCTION("""COMPUTED_VALUE"""),"Mobile SMARTS: Магазин 15, РАСШИРЕННЫЙ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печатью"&amp;"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опер"&amp;"аций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6" s="4" t="str">
        <f ca="1">IFERROR(__xludf.DUMMYFUNCTION("""COMPUTED_VALUE"""),"Mobile SMARTS: Магазин 15, РАСШИРЕННЫЙ для «Штрих-М: Магазин 5.2», для работы с товаром по штрихкодам ")</f>
        <v xml:space="preserve">Mobile SMARTS: Магазин 15, РАСШИРЕННЫЙ для «Штрих-М: Магазин 5.2», для работы с товаром по штрихкодам </v>
      </c>
      <c r="F366" s="5">
        <f ca="1">IFERROR(__xludf.DUMMYFUNCTION("""COMPUTED_VALUE"""),15050)</f>
        <v>15050</v>
      </c>
    </row>
    <row r="367" spans="1:6" ht="86.25" customHeight="1" x14ac:dyDescent="0.2">
      <c r="A367" s="4" t="str">
        <f ca="1">IFERROR(__xludf.DUMMYFUNCTION("""COMPUTED_VALUE"""),"«Штрих-М: Магазин 5.2»")</f>
        <v>«Штрих-М: Магазин 5.2»</v>
      </c>
      <c r="B367" s="4" t="str">
        <f ca="1">IFERROR(__xludf.DUMMYFUNCTION("""COMPUTED_VALUE"""),"МЕГАМАРКЕТ")</f>
        <v>МЕГАМАРКЕТ</v>
      </c>
      <c r="C367" s="4" t="str">
        <f ca="1">IFERROR(__xludf.DUMMYFUNCTION("""COMPUTED_VALUE"""),"RTL15C-SHMSTORE52")</f>
        <v>RTL15C-SHMSTORE52</v>
      </c>
      <c r="D367" s="4" t="str">
        <f ca="1">IFERROR(__xludf.DUMMYFUNCTION("""COMPUTED_VALUE"""),"Mobile SMARTS: Магазин 15, МЕГАМАРКЕТ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"&amp;"на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7" s="4" t="str">
        <f ca="1">IFERROR(__xludf.DUMMYFUNCTION("""COMPUTED_VALUE"""),"Mobile SMARTS: Магазин 15, МЕГАМАРКЕТ для «Штрих-М: Магазин 5.2», для работы с товаром по штрихкодам ")</f>
        <v xml:space="preserve">Mobile SMARTS: Магазин 15, МЕГАМАРКЕТ для «Штрих-М: Магазин 5.2», для работы с товаром по штрихкодам </v>
      </c>
      <c r="F367" s="5">
        <f ca="1">IFERROR(__xludf.DUMMYFUNCTION("""COMPUTED_VALUE"""),21550)</f>
        <v>21550</v>
      </c>
    </row>
    <row r="368" spans="1:6" ht="86.25" customHeight="1" x14ac:dyDescent="0.2">
      <c r="A368" s="4" t="str">
        <f ca="1">IFERROR(__xludf.DUMMYFUNCTION("""COMPUTED_VALUE"""),"«Штрих-М: Магазин 5.2»")</f>
        <v>«Штрих-М: Магазин 5.2»</v>
      </c>
      <c r="B368" s="4" t="str">
        <f ca="1">IFERROR(__xludf.DUMMYFUNCTION("""COMPUTED_VALUE"""),"с ЕГАИС, БАЗОВЫЙ")</f>
        <v>с ЕГАИС, БАЗОВЫЙ</v>
      </c>
      <c r="C368" s="4" t="str">
        <f ca="1">IFERROR(__xludf.DUMMYFUNCTION("""COMPUTED_VALUE"""),"RTL15AE-SHMSTORE52")</f>
        <v>RTL15AE-SHMSTORE52</v>
      </c>
      <c r="D368" s="4" t="str">
        <f ca="1">IFERROR(__xludf.DUMMYFUNCTION("""COMPUTED_VALUE"""),"Mobile SMARTS: Магазин 15 с ЕГАИС, БАЗОВЫЙ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алкоголя,"&amp;"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товаре"&amp;",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68" s="4" t="str">
        <f ca="1">IFERROR(__xludf.DUMMYFUNCTION("""COMPUTED_VALUE"""),"Mobile SMARTS: Магазин 15 с ЕГАИС, БАЗОВЫЙ для «Штрих-М: Магазин 5.2», для работы с маркированным товаром: алкоголь ЕГАИС и товары по штрихкодам ")</f>
        <v xml:space="preserve">Mobile SMARTS: Магазин 15 с ЕГАИС, БАЗОВЫЙ для «Штрих-М: Магазин 5.2», для работы с маркированным товаром: алкоголь ЕГАИС и товары по штрихкодам </v>
      </c>
      <c r="F368" s="5">
        <f ca="1">IFERROR(__xludf.DUMMYFUNCTION("""COMPUTED_VALUE"""),11000)</f>
        <v>11000</v>
      </c>
    </row>
    <row r="369" spans="1:6" ht="86.25" customHeight="1" x14ac:dyDescent="0.2">
      <c r="A369" s="4" t="str">
        <f ca="1">IFERROR(__xludf.DUMMYFUNCTION("""COMPUTED_VALUE"""),"«Штрих-М: Магазин 5.2»")</f>
        <v>«Штрих-М: Магазин 5.2»</v>
      </c>
      <c r="B369" s="4" t="str">
        <f ca="1">IFERROR(__xludf.DUMMYFUNCTION("""COMPUTED_VALUE"""),"с ЕГАИС, РАСШИРЕННЫЙ")</f>
        <v>с ЕГАИС, РАСШИРЕННЫЙ</v>
      </c>
      <c r="C369" s="4" t="str">
        <f ca="1">IFERROR(__xludf.DUMMYFUNCTION("""COMPUTED_VALUE"""),"RTL15BE-SHMSTORE52")</f>
        <v>RTL15BE-SHMSTORE52</v>
      </c>
      <c r="D369" s="4" t="str">
        <f ca="1">IFERROR(__xludf.DUMMYFUNCTION("""COMPUTED_VALUE"""),"Mobile SMARTS: Магазин 15 с ЕГАИС, РАСШИРЕННЫЙ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алког"&amp;"оля,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то"&amp;"варе,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9" s="4" t="str">
        <f ca="1">IFERROR(__xludf.DUMMYFUNCTION("""COMPUTED_VALUE"""),"Mobile SMARTS: Магазин 15 с ЕГАИС, РАСШИРЕННЫЙ для «Штрих-М: Магазин 5.2», для работы с маркированным товаром: алкоголь ЕГАИС и товары по штрихкодам ")</f>
        <v xml:space="preserve">Mobile SMARTS: Магазин 15 с ЕГАИС, РАСШИРЕННЫЙ для «Штрих-М: Магазин 5.2», для работы с маркированным товаром: алкоголь ЕГАИС и товары по штрихкодам </v>
      </c>
      <c r="F369" s="5">
        <f ca="1">IFERROR(__xludf.DUMMYFUNCTION("""COMPUTED_VALUE"""),17450)</f>
        <v>17450</v>
      </c>
    </row>
    <row r="370" spans="1:6" ht="86.25" customHeight="1" x14ac:dyDescent="0.2">
      <c r="A370" s="4" t="str">
        <f ca="1">IFERROR(__xludf.DUMMYFUNCTION("""COMPUTED_VALUE"""),"«Штрих-М: Магазин 5.2»")</f>
        <v>«Штрих-М: Магазин 5.2»</v>
      </c>
      <c r="B370" s="4" t="str">
        <f ca="1">IFERROR(__xludf.DUMMYFUNCTION("""COMPUTED_VALUE"""),"с ЕГАИС (без CheckMark2), МЕГАМАРКЕТ")</f>
        <v>с ЕГАИС (без CheckMark2), МЕГАМАРКЕТ</v>
      </c>
      <c r="C370" s="4" t="str">
        <f ca="1">IFERROR(__xludf.DUMMYFUNCTION("""COMPUTED_VALUE"""),"RTL15CEV-SHMSTORE52")</f>
        <v>RTL15CEV-SHMSTORE52</v>
      </c>
      <c r="D370" s="4" t="str">
        <f ca="1">IFERROR(__xludf.DUMMYFUNCTION("""COMPUTED_VALUE"""),"Mobile SMARTS: Магазин 15 с ЕГАИС (без CheckMark2), МЕГАМАРКЕТ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опер"&amp;"ации: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"&amp;"на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Mobile SMARTS: Магазин 15 с ЕГАИС (без CheckMark2), МЕГАМАРКЕТ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0" s="4" t="str">
        <f ca="1">IFERROR(__xludf.DUMMYFUNCTION("""COMPUTED_VALUE"""),"Mobile SMARTS: Магазин 15 с ЕГАИС (без CheckMark2), МЕГАМАРКЕТ для «Штрих-М: Магазин 5.2», для работы с маркированным товаром: алкоголь ЕГАИС и товары по штрихкодам ")</f>
        <v xml:space="preserve">Mobile SMARTS: Магазин 15 с ЕГАИС (без CheckMark2), МЕГАМАРКЕТ для «Штрих-М: Магазин 5.2», для работы с маркированным товаром: алкоголь ЕГАИС и товары по штрихкодам </v>
      </c>
      <c r="F370" s="5">
        <f ca="1">IFERROR(__xludf.DUMMYFUNCTION("""COMPUTED_VALUE"""),23850)</f>
        <v>23850</v>
      </c>
    </row>
    <row r="371" spans="1:6" ht="86.25" customHeight="1" x14ac:dyDescent="0.2">
      <c r="A371" s="4" t="str">
        <f ca="1">IFERROR(__xludf.DUMMYFUNCTION("""COMPUTED_VALUE"""),"«Штрих-М: Магазин 5.2»")</f>
        <v>«Штрих-М: Магазин 5.2»</v>
      </c>
      <c r="B371" s="4" t="str">
        <f ca="1">IFERROR(__xludf.DUMMYFUNCTION("""COMPUTED_VALUE"""),"с МОТП, БАЗОВЫЙ")</f>
        <v>с МОТП, БАЗОВЫЙ</v>
      </c>
      <c r="C371" s="4" t="str">
        <f ca="1">IFERROR(__xludf.DUMMYFUNCTION("""COMPUTED_VALUE"""),"RTL15AT-SHMSTORE52")</f>
        <v>RTL15AT-SHMSTORE52</v>
      </c>
      <c r="D371" s="4" t="str">
        <f ca="1">IFERROR(__xludf.DUMMYFUNCTION("""COMPUTED_VALUE"""),"Mobile SMARTS: Магазин 15 с МОТП, БАЗОВЫЙ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прие"&amp;"мка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ск"&amp;"ладах,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1" s="4" t="str">
        <f ca="1">IFERROR(__xludf.DUMMYFUNCTION("""COMPUTED_VALUE"""),"Mobile SMARTS: Магазин 15 с МОТП, БАЗОВЫЙ для «Штрих-М: Магазин 5.2», для работы с маркированным товаром: ТАБАК и товары по штрихкодам ")</f>
        <v xml:space="preserve">Mobile SMARTS: Магазин 15 с МОТП, БАЗОВЫЙ для «Штрих-М: Магазин 5.2», для работы с маркированным товаром: ТАБАК и товары по штрихкодам </v>
      </c>
      <c r="F371" s="5">
        <f ca="1">IFERROR(__xludf.DUMMYFUNCTION("""COMPUTED_VALUE"""),11150)</f>
        <v>11150</v>
      </c>
    </row>
    <row r="372" spans="1:6" ht="86.25" customHeight="1" x14ac:dyDescent="0.2">
      <c r="A372" s="4" t="str">
        <f ca="1">IFERROR(__xludf.DUMMYFUNCTION("""COMPUTED_VALUE"""),"«Штрих-М: Магазин 5.2»")</f>
        <v>«Штрих-М: Магазин 5.2»</v>
      </c>
      <c r="B372" s="4" t="str">
        <f ca="1">IFERROR(__xludf.DUMMYFUNCTION("""COMPUTED_VALUE"""),"с МОТП, РАСШИРЕННЫЙ")</f>
        <v>с МОТП, РАСШИРЕННЫЙ</v>
      </c>
      <c r="C372" s="4" t="str">
        <f ca="1">IFERROR(__xludf.DUMMYFUNCTION("""COMPUTED_VALUE"""),"RTL15BT-SHMSTORE52")</f>
        <v>RTL15BT-SHMSTORE52</v>
      </c>
      <c r="D372" s="4" t="str">
        <f ca="1">IFERROR(__xludf.DUMMYFUNCTION("""COMPUTED_VALUE"""),"Mobile SMARTS: Магазин 15 с МОТП, РАСШИРЕННЫЙ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"&amp;"приемка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товаре"&amp;",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2" s="4" t="str">
        <f ca="1">IFERROR(__xludf.DUMMYFUNCTION("""COMPUTED_VALUE"""),"Mobile SMARTS: Магазин 15 с МОТП, РАСШИРЕННЫЙ для «Штрих-М: Магазин 5.2», для работы с маркированным товаром: ТАБАК и товары по штрихкодам ")</f>
        <v xml:space="preserve">Mobile SMARTS: Магазин 15 с МОТП, РАСШИРЕННЫЙ для «Штрих-М: Магазин 5.2», для работы с маркированным товаром: ТАБАК и товары по штрихкодам </v>
      </c>
      <c r="F372" s="5">
        <f ca="1">IFERROR(__xludf.DUMMYFUNCTION("""COMPUTED_VALUE"""),17450)</f>
        <v>17450</v>
      </c>
    </row>
    <row r="373" spans="1:6" ht="86.25" customHeight="1" x14ac:dyDescent="0.2">
      <c r="A373" s="4" t="str">
        <f ca="1">IFERROR(__xludf.DUMMYFUNCTION("""COMPUTED_VALUE"""),"«Штрих-М: Магазин 5.2»")</f>
        <v>«Штрих-М: Магазин 5.2»</v>
      </c>
      <c r="B373" s="4" t="str">
        <f ca="1">IFERROR(__xludf.DUMMYFUNCTION("""COMPUTED_VALUE"""),"с МОТП, МЕГАМАРКЕТ")</f>
        <v>с МОТП, МЕГАМАРКЕТ</v>
      </c>
      <c r="C373" s="4" t="str">
        <f ca="1">IFERROR(__xludf.DUMMYFUNCTION("""COMPUTED_VALUE"""),"RTL15CT-SHMSTORE52")</f>
        <v>RTL15CT-SHMSTORE52</v>
      </c>
      <c r="D373" s="4" t="str">
        <f ca="1">IFERROR(__xludf.DUMMYFUNCTION("""COMPUTED_VALUE"""),"Mobile SMARTS: Магазин 15 с МОТП, МЕГАМАРКЕТ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п"&amp;"риемка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Mobile SMARTS: Магазин 15 с МОТП, МЕГАМАРКЕТ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3" s="4" t="str">
        <f ca="1">IFERROR(__xludf.DUMMYFUNCTION("""COMPUTED_VALUE"""),"Mobile SMARTS: Магазин 15 с МОТП, МЕГАМАРКЕТ для «Штрих-М: Магазин 5.2», для работы с маркированным товаром: ТАБАК и товары по штрихкодам ")</f>
        <v xml:space="preserve">Mobile SMARTS: Магазин 15 с МОТП, МЕГАМАРКЕТ для «Штрих-М: Магазин 5.2», для работы с маркированным товаром: ТАБАК и товары по штрихкодам </v>
      </c>
      <c r="F373" s="5">
        <f ca="1">IFERROR(__xludf.DUMMYFUNCTION("""COMPUTED_VALUE"""),23850)</f>
        <v>23850</v>
      </c>
    </row>
    <row r="374" spans="1:6" ht="86.25" customHeight="1" x14ac:dyDescent="0.2">
      <c r="A374" s="4" t="str">
        <f ca="1">IFERROR(__xludf.DUMMYFUNCTION("""COMPUTED_VALUE"""),"«Штрих-М: Магазин 5.2»")</f>
        <v>«Штрих-М: Магазин 5.2»</v>
      </c>
      <c r="B374" s="4" t="str">
        <f ca="1">IFERROR(__xludf.DUMMYFUNCTION("""COMPUTED_VALUE"""),"с ЕГАИС и МОТП, БАЗОВЫЙ")</f>
        <v>с ЕГАИС и МОТП, БАЗОВЫЙ</v>
      </c>
      <c r="C374" s="4" t="str">
        <f ca="1">IFERROR(__xludf.DUMMYFUNCTION("""COMPUTED_VALUE"""),"RTL15AET-SHMSTORE52")</f>
        <v>RTL15AET-SHMSTORE52</v>
      </c>
      <c r="D374" s="4" t="str">
        <f ca="1">IFERROR(__xludf.DUMMYFUNCTION("""COMPUTED_VALUE"""),"Mobile SMARTS: Магазин 15 с ЕГАИС и МОТП, БАЗОВЫЙ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а"&amp;"лкоголя,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ма"&amp;"ркировка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"&amp;"добавлять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4" s="4" t="str">
        <f ca="1">IFERROR(__xludf.DUMMYFUNCTION("""COMPUTED_VALUE"""),"Mobile SMARTS: Магазин 15 с ЕГАИС и МОТП, БАЗОВЫЙ для «Штрих-М: Магазин 5.2», для работы с маркированным товаром: АЛКОГОЛЬ, ТАБАК и товары по штрихкодам ")</f>
        <v xml:space="preserve">Mobile SMARTS: Магазин 15 с ЕГАИС и МОТП, БАЗОВЫЙ для «Штрих-М: Магазин 5.2», для работы с маркированным товаром: АЛКОГОЛЬ, ТАБАК и товары по штрихкодам </v>
      </c>
      <c r="F374" s="5">
        <f ca="1">IFERROR(__xludf.DUMMYFUNCTION("""COMPUTED_VALUE"""),12150)</f>
        <v>12150</v>
      </c>
    </row>
    <row r="375" spans="1:6" ht="86.25" customHeight="1" x14ac:dyDescent="0.2">
      <c r="A375" s="4" t="str">
        <f ca="1">IFERROR(__xludf.DUMMYFUNCTION("""COMPUTED_VALUE"""),"«Штрих-М: Магазин 5.2»")</f>
        <v>«Штрих-М: Магазин 5.2»</v>
      </c>
      <c r="B375" s="4" t="str">
        <f ca="1">IFERROR(__xludf.DUMMYFUNCTION("""COMPUTED_VALUE"""),"с ЕГАИС и МОТП, РАСШИРЕННЫЙ")</f>
        <v>с ЕГАИС и МОТП, РАСШИРЕННЫЙ</v>
      </c>
      <c r="C375" s="4" t="str">
        <f ca="1">IFERROR(__xludf.DUMMYFUNCTION("""COMPUTED_VALUE"""),"RTL15BET-SHMSTORE52")</f>
        <v>RTL15BET-SHMSTORE52</v>
      </c>
      <c r="D375" s="4" t="str">
        <f ca="1">IFERROR(__xludf.DUMMYFUNCTION("""COMPUTED_VALUE"""),"Mobile SMARTS: Магазин 15 с ЕГАИС и МОТП, РАСШИРЕННЫЙ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сб"&amp;"ор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штрихкодов"&amp;",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возможно"&amp;"сть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5" s="4" t="str">
        <f ca="1">IFERROR(__xludf.DUMMYFUNCTION("""COMPUTED_VALUE"""),"Mobile SMARTS: Магазин 15 с ЕГАИС и МОТП, РАСШИРЕННЫЙ для «Штрих-М: Магазин 5.2», для работы с маркированным товаром: АЛКОГОЛЬ, ТАБАК и товары по штрихкодам ")</f>
        <v xml:space="preserve">Mobile SMARTS: Магазин 15 с ЕГАИС и МОТП, РАСШИРЕННЫЙ для «Штрих-М: Магазин 5.2», для работы с маркированным товаром: АЛКОГОЛЬ, ТАБАК и товары по штрихкодам </v>
      </c>
      <c r="F375" s="5">
        <f ca="1">IFERROR(__xludf.DUMMYFUNCTION("""COMPUTED_VALUE"""),18550)</f>
        <v>18550</v>
      </c>
    </row>
    <row r="376" spans="1:6" ht="86.25" customHeight="1" x14ac:dyDescent="0.2">
      <c r="A376" s="4" t="str">
        <f ca="1">IFERROR(__xludf.DUMMYFUNCTION("""COMPUTED_VALUE"""),"«Штрих-М: Магазин 5.2»")</f>
        <v>«Штрих-М: Магазин 5.2»</v>
      </c>
      <c r="B376" s="4" t="str">
        <f ca="1">IFERROR(__xludf.DUMMYFUNCTION("""COMPUTED_VALUE"""),"с ЕГАИС и МОТП, МЕГАМАРКЕТ")</f>
        <v>с ЕГАИС и МОТП, МЕГАМАРКЕТ</v>
      </c>
      <c r="C376" s="4" t="str">
        <f ca="1">IFERROR(__xludf.DUMMYFUNCTION("""COMPUTED_VALUE"""),"RTL15CET-SHMSTORE52")</f>
        <v>RTL15CET-SHMSTORE52</v>
      </c>
      <c r="D376" s="4" t="str">
        <f ca="1">IFERROR(__xludf.DUMMYFUNCTION("""COMPUTED_VALUE"""),"Mobile SMARTS: Магазин 15 с ЕГАИС и МОТП, МЕГАМАРКЕТ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сбо"&amp;"р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штрихкодов,"&amp;"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6" s="4" t="str">
        <f ca="1">IFERROR(__xludf.DUMMYFUNCTION("""COMPUTED_VALUE"""),"Mobile SMARTS: Магазин 15 с ЕГАИС и МОТП, МЕГАМАРКЕТ для «Штрих-М: Магазин 5.2», для работы с маркированным товаром: АЛКОГОЛЬ, ТАБАК и товары по штрихкодам ")</f>
        <v xml:space="preserve">Mobile SMARTS: Магазин 15 с ЕГАИС и МОТП, МЕГАМАРКЕТ для «Штрих-М: Магазин 5.2», для работы с маркированным товаром: АЛКОГОЛЬ, ТАБАК и товары по штрихкодам </v>
      </c>
      <c r="F376" s="5">
        <f ca="1">IFERROR(__xludf.DUMMYFUNCTION("""COMPUTED_VALUE"""),26350)</f>
        <v>26350</v>
      </c>
    </row>
    <row r="377" spans="1:6" ht="86.25" customHeight="1" x14ac:dyDescent="0.2">
      <c r="A377" s="4" t="str">
        <f ca="1">IFERROR(__xludf.DUMMYFUNCTION("""COMPUTED_VALUE"""),"«Штрих-М: Магазин 5.2»")</f>
        <v>«Штрих-М: Магазин 5.2»</v>
      </c>
      <c r="B377" s="4" t="str">
        <f ca="1">IFERROR(__xludf.DUMMYFUNCTION("""COMPUTED_VALUE"""),"ШМОТКИ, БАЗОВЫЙ")</f>
        <v>ШМОТКИ, БАЗОВЫЙ</v>
      </c>
      <c r="C377" s="4" t="str">
        <f ca="1">IFERROR(__xludf.DUMMYFUNCTION("""COMPUTED_VALUE"""),"RTL15AK-SHMSTORE52")</f>
        <v>RTL15AK-SHMSTORE52</v>
      </c>
      <c r="D377" s="4" t="str">
        <f ca="1">IFERROR(__xludf.DUMMYFUNCTION("""COMPUTED_VALUE"""),"Mobile SMARTS: Магазин 15 ШМОТКИ, БАЗОВЫЙ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по"&amp;"ступление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и"&amp;"нформация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ШМОТКИ, БАЗОВЫЙ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7" s="4" t="str">
        <f ca="1">IFERROR(__xludf.DUMMYFUNCTION("""COMPUTED_VALUE"""),"Mobile SMARTS: Магазин 15 ШМОТКИ, БАЗОВЫЙ для «Штрих-М: Магазин 5.2», для работы с маркированным товаром: ОБУВЬ, ОДЕЖДА, ПАРФЮМ, ШИНЫ и товары по штрихкодам ")</f>
        <v xml:space="preserve">Mobile SMARTS: Магазин 15 ШМОТКИ, БАЗОВЫЙ для «Штрих-М: Магазин 5.2», для работы с маркированным товаром: ОБУВЬ, ОДЕЖДА, ПАРФЮМ, ШИНЫ и товары по штрихкодам </v>
      </c>
      <c r="F377" s="5">
        <f ca="1">IFERROR(__xludf.DUMMYFUNCTION("""COMPUTED_VALUE"""),12150)</f>
        <v>12150</v>
      </c>
    </row>
    <row r="378" spans="1:6" ht="86.25" customHeight="1" x14ac:dyDescent="0.2">
      <c r="A378" s="4" t="str">
        <f ca="1">IFERROR(__xludf.DUMMYFUNCTION("""COMPUTED_VALUE"""),"«Штрих-М: Магазин 5.2»")</f>
        <v>«Штрих-М: Магазин 5.2»</v>
      </c>
      <c r="B378" s="4" t="str">
        <f ca="1">IFERROR(__xludf.DUMMYFUNCTION("""COMPUTED_VALUE"""),"ШМОТКИ, РАСШИРЕННЫЙ")</f>
        <v>ШМОТКИ, РАСШИРЕННЫЙ</v>
      </c>
      <c r="C378" s="4" t="str">
        <f ca="1">IFERROR(__xludf.DUMMYFUNCTION("""COMPUTED_VALUE"""),"RTL15BK-SHMSTORE52")</f>
        <v>RTL15BK-SHMSTORE52</v>
      </c>
      <c r="D378" s="4" t="str">
        <f ca="1">IFERROR(__xludf.DUMMYFUNCTION("""COMPUTED_VALUE"""),"Mobile SMARTS: Магазин 15 ШМОТКИ, РАСШИРЕННЫЙ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операции"&amp;":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возможност"&amp;"и: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"&amp;"год")</f>
        <v>Mobile SMARTS: Магазин 15 ШМОТКИ, РАСШИРЕННЫЙ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8" s="4" t="str">
        <f ca="1">IFERROR(__xludf.DUMMYFUNCTION("""COMPUTED_VALUE"""),"Mobile SMARTS: Магазин 15 ШМОТКИ, РАСШИРЕННЫЙ для «Штрих-М: Магазин 5.2», для работы с маркированным товаром: ОБУВЬ, ОДЕЖДА, ПАРФЮМ, ШИНЫ и товары по штрихкодам ")</f>
        <v xml:space="preserve">Mobile SMARTS: Магазин 15 ШМОТКИ, РАСШИРЕННЫЙ для «Штрих-М: Магазин 5.2», для работы с маркированным товаром: ОБУВЬ, ОДЕЖДА, ПАРФЮМ, ШИНЫ и товары по штрихкодам </v>
      </c>
      <c r="F378" s="5">
        <f ca="1">IFERROR(__xludf.DUMMYFUNCTION("""COMPUTED_VALUE"""),18550)</f>
        <v>18550</v>
      </c>
    </row>
    <row r="379" spans="1:6" ht="86.25" customHeight="1" x14ac:dyDescent="0.2">
      <c r="A379" s="4" t="str">
        <f ca="1">IFERROR(__xludf.DUMMYFUNCTION("""COMPUTED_VALUE"""),"«Штрих-М: Магазин 5.2»")</f>
        <v>«Штрих-М: Магазин 5.2»</v>
      </c>
      <c r="B379" s="4" t="str">
        <f ca="1">IFERROR(__xludf.DUMMYFUNCTION("""COMPUTED_VALUE"""),"ШМОТКИ, МЕГАМАРКЕТ")</f>
        <v>ШМОТКИ, МЕГАМАРКЕТ</v>
      </c>
      <c r="C379" s="4" t="str">
        <f ca="1">IFERROR(__xludf.DUMMYFUNCTION("""COMPUTED_VALUE"""),"RTL15CK-SHMSTORE52")</f>
        <v>RTL15CK-SHMSTORE52</v>
      </c>
      <c r="D379" s="4" t="str">
        <f ca="1">IFERROR(__xludf.DUMMYFUNCTION("""COMPUTED_VALUE"""),"Mobile SMARTS: Магазин 15 ШМОТКИ, МЕГАМАРКЕТ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операции:"&amp;"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возможности"&amp;":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Mobile SMARTS: Магазин 15 ШМОТКИ, МЕГАМАРКЕТ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9" s="4" t="str">
        <f ca="1">IFERROR(__xludf.DUMMYFUNCTION("""COMPUTED_VALUE"""),"Mobile SMARTS: Магазин 15 ШМОТКИ, МЕГАМАРКЕТ для «Штрих-М: Магазин 5.2», для работы с маркированным товаром: ОБУВЬ, ОДЕЖДА, ПАРФЮМ, ШИНЫ и товары по штрихкодам ")</f>
        <v xml:space="preserve">Mobile SMARTS: Магазин 15 ШМОТКИ, МЕГАМАРКЕТ для «Штрих-М: Магазин 5.2», для работы с маркированным товаром: ОБУВЬ, ОДЕЖДА, ПАРФЮМ, ШИНЫ и товары по штрихкодам </v>
      </c>
      <c r="F379" s="5">
        <f ca="1">IFERROR(__xludf.DUMMYFUNCTION("""COMPUTED_VALUE"""),26350)</f>
        <v>26350</v>
      </c>
    </row>
    <row r="380" spans="1:6" ht="86.25" customHeight="1" x14ac:dyDescent="0.2">
      <c r="A380" s="4" t="str">
        <f ca="1">IFERROR(__xludf.DUMMYFUNCTION("""COMPUTED_VALUE"""),"«Штрих-М: Магазин 5.2»")</f>
        <v>«Штрих-М: Магазин 5.2»</v>
      </c>
      <c r="B380" s="4" t="str">
        <f ca="1">IFERROR(__xludf.DUMMYFUNCTION("""COMPUTED_VALUE"""),"ПРОДУКТОВЫЙ, БАЗОВЫЙ")</f>
        <v>ПРОДУКТОВЫЙ, БАЗОВЫЙ</v>
      </c>
      <c r="C380" s="4" t="str">
        <f ca="1">IFERROR(__xludf.DUMMYFUNCTION("""COMPUTED_VALUE"""),"RTL15AG-SHMSTORE52")</f>
        <v>RTL15AG-SHMSTORE52</v>
      </c>
      <c r="D380" s="4" t="str">
        <f ca="1">IFERROR(__xludf.DUMMYFUNCTION("""COMPUTED_VALUE"""),"Mobile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Интерн"&amp;"ет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отгр"&amp;"узка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0" s="4" t="str">
        <f ca="1">IFERROR(__xludf.DUMMYFUNCTION("""COMPUTED_VALUE"""),"Mobile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</v>
      </c>
      <c r="F380" s="5">
        <f ca="1">IFERROR(__xludf.DUMMYFUNCTION("""COMPUTED_VALUE"""),14550)</f>
        <v>14550</v>
      </c>
    </row>
    <row r="381" spans="1:6" ht="86.25" customHeight="1" x14ac:dyDescent="0.2">
      <c r="A381" s="4" t="str">
        <f ca="1">IFERROR(__xludf.DUMMYFUNCTION("""COMPUTED_VALUE"""),"«Штрих-М: Магазин 5.2»")</f>
        <v>«Штрих-М: Магазин 5.2»</v>
      </c>
      <c r="B381" s="4" t="str">
        <f ca="1">IFERROR(__xludf.DUMMYFUNCTION("""COMPUTED_VALUE"""),"ПРОДУКТОВЫЙ, РАСШИРЕННЫЙ")</f>
        <v>ПРОДУКТОВЫЙ, РАСШИРЕННЫЙ</v>
      </c>
      <c r="C381" s="4" t="str">
        <f ca="1">IFERROR(__xludf.DUMMYFUNCTION("""COMPUTED_VALUE"""),"RTL15BG-SHMSTORE52")</f>
        <v>RTL15BG-SHMSTORE52</v>
      </c>
      <c r="D381" s="4" t="str">
        <f ca="1">IFERROR(__xludf.DUMMYFUNCTION("""COMPUTED_VALUE"""),"Mobile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Ин"&amp;"тернет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"&amp;"отгрузка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1" s="4" t="str">
        <f ca="1">IFERROR(__xludf.DUMMYFUNCTION("""COMPUTED_VALUE"""),"Mobile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</v>
      </c>
      <c r="F381" s="5">
        <f ca="1">IFERROR(__xludf.DUMMYFUNCTION("""COMPUTED_VALUE"""),20950)</f>
        <v>20950</v>
      </c>
    </row>
    <row r="382" spans="1:6" ht="86.25" customHeight="1" x14ac:dyDescent="0.2">
      <c r="A382" s="4" t="str">
        <f ca="1">IFERROR(__xludf.DUMMYFUNCTION("""COMPUTED_VALUE"""),"«Штрих-М: Магазин 5.2»")</f>
        <v>«Штрих-М: Магазин 5.2»</v>
      </c>
      <c r="B382" s="4" t="str">
        <f ca="1">IFERROR(__xludf.DUMMYFUNCTION("""COMPUTED_VALUE"""),"ПРОДУКТОВЫЙ, МЕГАМАРКЕТ")</f>
        <v>ПРОДУКТОВЫЙ, МЕГАМАРКЕТ</v>
      </c>
      <c r="C382" s="4" t="str">
        <f ca="1">IFERROR(__xludf.DUMMYFUNCTION("""COMPUTED_VALUE"""),"RTL15CG-SHMSTORE52")</f>
        <v>RTL15CG-SHMSTORE52</v>
      </c>
      <c r="D382" s="4" t="str">
        <f ca="1">IFERROR(__xludf.DUMMYFUNCTION("""COMPUTED_VALUE"""),"Mobile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Инт"&amp;"ернет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о"&amp;"тгрузка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2" s="4" t="str">
        <f ca="1">IFERROR(__xludf.DUMMYFUNCTION("""COMPUTED_VALUE"""),"Mobile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</v>
      </c>
      <c r="F382" s="5">
        <f ca="1">IFERROR(__xludf.DUMMYFUNCTION("""COMPUTED_VALUE"""),28250)</f>
        <v>28250</v>
      </c>
    </row>
    <row r="383" spans="1:6" ht="86.25" customHeight="1" x14ac:dyDescent="0.2">
      <c r="A383" s="4" t="str">
        <f ca="1">IFERROR(__xludf.DUMMYFUNCTION("""COMPUTED_VALUE"""),"«Штрих-М: Розничная сеть 5.2»")</f>
        <v>«Штрих-М: Розничная сеть 5.2»</v>
      </c>
      <c r="B383" s="4" t="str">
        <f ca="1">IFERROR(__xludf.DUMMYFUNCTION("""COMPUTED_VALUE"""),"МИНИМУМ")</f>
        <v>МИНИМУМ</v>
      </c>
      <c r="C383" s="4" t="str">
        <f ca="1">IFERROR(__xludf.DUMMYFUNCTION("""COMPUTED_VALUE"""),"RTL15M-SHMSTOREC52")</f>
        <v>RTL15M-SHMSTOREC52</v>
      </c>
      <c r="D383" s="4" t="str">
        <f ca="1">IFERROR(__xludf.DUMMYFUNCTION("""COMPUTED_VALUE"""),"Mobile SMARTS: Магазин 15, МИНИМУМ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нас"&amp;"тройка,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го"&amp;"д")</f>
        <v>Mobile SMARTS: Магазин 15, МИНИМУМ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83" s="4" t="str">
        <f ca="1">IFERROR(__xludf.DUMMYFUNCTION("""COMPUTED_VALUE"""),"Mobile SMARTS: Магазин 15, МИНИМУМ для «Штрих-М: Розничная сеть 5.2», для работы с товаром по штрихкодам ")</f>
        <v xml:space="preserve">Mobile SMARTS: Магазин 15, МИНИМУМ для «Штрих-М: Розничная сеть 5.2», для работы с товаром по штрихкодам </v>
      </c>
      <c r="F383" s="5">
        <f ca="1">IFERROR(__xludf.DUMMYFUNCTION("""COMPUTED_VALUE"""),3450)</f>
        <v>3450</v>
      </c>
    </row>
    <row r="384" spans="1:6" ht="86.25" customHeight="1" x14ac:dyDescent="0.2">
      <c r="A384" s="4" t="str">
        <f ca="1">IFERROR(__xludf.DUMMYFUNCTION("""COMPUTED_VALUE"""),"«Штрих-М: Розничная сеть 5.2»")</f>
        <v>«Штрих-М: Розничная сеть 5.2»</v>
      </c>
      <c r="B384" s="4" t="str">
        <f ca="1">IFERROR(__xludf.DUMMYFUNCTION("""COMPUTED_VALUE"""),"БАЗОВЫЙ")</f>
        <v>БАЗОВЫЙ</v>
      </c>
      <c r="C384" s="4" t="str">
        <f ca="1">IFERROR(__xludf.DUMMYFUNCTION("""COMPUTED_VALUE"""),"RTL15A-SHMSTOREC52")</f>
        <v>RTL15A-SHMSTOREC52</v>
      </c>
      <c r="D384" s="4" t="str">
        <f ca="1">IFERROR(__xludf.DUMMYFUNCTION("""COMPUTED_VALUE"""),"Mobile SMARTS: Магазин 15, БАЗОВЫЙ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печа"&amp;"тью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о"&amp;"пераций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4" s="4" t="str">
        <f ca="1">IFERROR(__xludf.DUMMYFUNCTION("""COMPUTED_VALUE"""),"Mobile SMARTS: Магазин 15, БАЗОВЫЙ для «Штрих-М: Розничная сеть 5.2», для работы с товаром по штрихкодам ")</f>
        <v xml:space="preserve">Mobile SMARTS: Магазин 15, БАЗОВЫЙ для «Штрих-М: Розничная сеть 5.2», для работы с товаром по штрихкодам </v>
      </c>
      <c r="F384" s="5">
        <f ca="1">IFERROR(__xludf.DUMMYFUNCTION("""COMPUTED_VALUE"""),8650)</f>
        <v>8650</v>
      </c>
    </row>
    <row r="385" spans="1:6" ht="86.25" customHeight="1" x14ac:dyDescent="0.2">
      <c r="A385" s="4" t="str">
        <f ca="1">IFERROR(__xludf.DUMMYFUNCTION("""COMPUTED_VALUE"""),"«Штрих-М: Розничная сеть 5.2»")</f>
        <v>«Штрих-М: Розничная сеть 5.2»</v>
      </c>
      <c r="B385" s="4" t="str">
        <f ca="1">IFERROR(__xludf.DUMMYFUNCTION("""COMPUTED_VALUE"""),"РАСШИРЕННЫЙ")</f>
        <v>РАСШИРЕННЫЙ</v>
      </c>
      <c r="C385" s="4" t="str">
        <f ca="1">IFERROR(__xludf.DUMMYFUNCTION("""COMPUTED_VALUE"""),"RTL15B-SHMSTOREC52")</f>
        <v>RTL15B-SHMSTOREC52</v>
      </c>
      <c r="D385" s="4" t="str">
        <f ca="1">IFERROR(__xludf.DUMMYFUNCTION("""COMPUTED_VALUE"""),"Mobile SMARTS: Магазин 15, РАСШИРЕННЫЙ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"&amp;"печатью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существующ"&amp;"их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5" s="4" t="str">
        <f ca="1">IFERROR(__xludf.DUMMYFUNCTION("""COMPUTED_VALUE"""),"Mobile SMARTS: Магазин 15, РАСШИРЕННЫЙ для «Штрих-М: Розничная сеть 5.2», для работы с товаром по штрихкодам ")</f>
        <v xml:space="preserve">Mobile SMARTS: Магазин 15, РАСШИРЕННЫЙ для «Штрих-М: Розничная сеть 5.2», для работы с товаром по штрихкодам </v>
      </c>
      <c r="F385" s="5">
        <f ca="1">IFERROR(__xludf.DUMMYFUNCTION("""COMPUTED_VALUE"""),15050)</f>
        <v>15050</v>
      </c>
    </row>
    <row r="386" spans="1:6" ht="86.25" customHeight="1" x14ac:dyDescent="0.2">
      <c r="A386" s="4" t="str">
        <f ca="1">IFERROR(__xludf.DUMMYFUNCTION("""COMPUTED_VALUE"""),"«Штрих-М: Розничная сеть 5.2»")</f>
        <v>«Штрих-М: Розничная сеть 5.2»</v>
      </c>
      <c r="B386" s="4" t="str">
        <f ca="1">IFERROR(__xludf.DUMMYFUNCTION("""COMPUTED_VALUE"""),"МЕГАМАРКЕТ")</f>
        <v>МЕГАМАРКЕТ</v>
      </c>
      <c r="C386" s="4" t="str">
        <f ca="1">IFERROR(__xludf.DUMMYFUNCTION("""COMPUTED_VALUE"""),"RTL15C-SHMSTOREC52")</f>
        <v>RTL15C-SHMSTOREC52</v>
      </c>
      <c r="D386" s="4" t="str">
        <f ca="1">IFERROR(__xludf.DUMMYFUNCTION("""COMPUTED_VALUE"""),"Mobile SMARTS: Магазин 15, МЕГАМАРКЕТ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п"&amp;"ечатью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"&amp;"изменение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6" s="4" t="str">
        <f ca="1">IFERROR(__xludf.DUMMYFUNCTION("""COMPUTED_VALUE"""),"Mobile SMARTS: Магазин 15, МЕГАМАРКЕТ для «Штрих-М: Розничная сеть 5.2», для работы с товаром по штрихкодам ")</f>
        <v xml:space="preserve">Mobile SMARTS: Магазин 15, МЕГАМАРКЕТ для «Штрих-М: Розничная сеть 5.2», для работы с товаром по штрихкодам </v>
      </c>
      <c r="F386" s="5">
        <f ca="1">IFERROR(__xludf.DUMMYFUNCTION("""COMPUTED_VALUE"""),21550)</f>
        <v>21550</v>
      </c>
    </row>
    <row r="387" spans="1:6" ht="86.25" customHeight="1" x14ac:dyDescent="0.2">
      <c r="A387" s="4" t="str">
        <f ca="1">IFERROR(__xludf.DUMMYFUNCTION("""COMPUTED_VALUE"""),"«Штрих-М: Розничная сеть 5.2»")</f>
        <v>«Штрих-М: Розничная сеть 5.2»</v>
      </c>
      <c r="B387" s="4" t="str">
        <f ca="1">IFERROR(__xludf.DUMMYFUNCTION("""COMPUTED_VALUE"""),"с ЕГАИС, БАЗОВЫЙ")</f>
        <v>с ЕГАИС, БАЗОВЫЙ</v>
      </c>
      <c r="C387" s="4" t="str">
        <f ca="1">IFERROR(__xludf.DUMMYFUNCTION("""COMPUTED_VALUE"""),"RTL15AE-SHMSTOREC52")</f>
        <v>RTL15AE-SHMSTOREC52</v>
      </c>
      <c r="D387" s="4" t="str">
        <f ca="1">IFERROR(__xludf.DUMMYFUNCTION("""COMPUTED_VALUE"""),"Mobile SMARTS: Магазин 15 с ЕГАИС, БАЗОВЫЙ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ал"&amp;"коголя,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о"&amp;"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87" s="4" t="str">
        <f ca="1">IFERROR(__xludf.DUMMYFUNCTION("""COMPUTED_VALUE"""),"Mobile SMARTS: Магазин 15 с ЕГАИС, БАЗОВЫЙ для «Штрих-М: Розничная сеть 5.2», для работы с маркированным товаром: алкоголь ЕГАИС и товары по штрихкодам ")</f>
        <v xml:space="preserve">Mobile SMARTS: Магазин 15 с ЕГАИС, БАЗОВЫЙ для «Штрих-М: Розничная сеть 5.2», для работы с маркированным товаром: алкоголь ЕГАИС и товары по штрихкодам </v>
      </c>
      <c r="F387" s="5">
        <f ca="1">IFERROR(__xludf.DUMMYFUNCTION("""COMPUTED_VALUE"""),11000)</f>
        <v>11000</v>
      </c>
    </row>
    <row r="388" spans="1:6" ht="86.25" customHeight="1" x14ac:dyDescent="0.2">
      <c r="A388" s="4" t="str">
        <f ca="1">IFERROR(__xludf.DUMMYFUNCTION("""COMPUTED_VALUE"""),"«Штрих-М: Розничная сеть 5.2»")</f>
        <v>«Штрих-М: Розничная сеть 5.2»</v>
      </c>
      <c r="B388" s="4" t="str">
        <f ca="1">IFERROR(__xludf.DUMMYFUNCTION("""COMPUTED_VALUE"""),"с ЕГАИС, РАСШИРЕННЫЙ")</f>
        <v>с ЕГАИС, РАСШИРЕННЫЙ</v>
      </c>
      <c r="C388" s="4" t="str">
        <f ca="1">IFERROR(__xludf.DUMMYFUNCTION("""COMPUTED_VALUE"""),"RTL15BE-SHMSTOREC52")</f>
        <v>RTL15BE-SHMSTOREC52</v>
      </c>
      <c r="D388" s="4" t="str">
        <f ca="1">IFERROR(__xludf.DUMMYFUNCTION("""COMPUTED_VALUE"""),"Mobile SMARTS: Магазин 15 с ЕГАИС, РАСШИРЕННЫЙ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сбо"&amp;"р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информац"&amp;"ия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8" s="4" t="str">
        <f ca="1">IFERROR(__xludf.DUMMYFUNCTION("""COMPUTED_VALUE"""),"Mobile SMARTS: Магазин 15 с ЕГАИС, РАСШИРЕННЫЙ для «Штрих-М: Розничная сеть 5.2», для работы с маркированным товаром: алкоголь ЕГАИС и товары по штрихкодам ")</f>
        <v xml:space="preserve">Mobile SMARTS: Магазин 15 с ЕГАИС, РАСШИРЕННЫЙ для «Штрих-М: Розничная сеть 5.2», для работы с маркированным товаром: алкоголь ЕГАИС и товары по штрихкодам </v>
      </c>
      <c r="F388" s="5">
        <f ca="1">IFERROR(__xludf.DUMMYFUNCTION("""COMPUTED_VALUE"""),17450)</f>
        <v>17450</v>
      </c>
    </row>
    <row r="389" spans="1:6" ht="86.25" customHeight="1" x14ac:dyDescent="0.2">
      <c r="A389" s="4" t="str">
        <f ca="1">IFERROR(__xludf.DUMMYFUNCTION("""COMPUTED_VALUE"""),"«Штрих-М: Розничная сеть 5.2»")</f>
        <v>«Штрих-М: Розничная сеть 5.2»</v>
      </c>
      <c r="B389" s="4" t="str">
        <f ca="1">IFERROR(__xludf.DUMMYFUNCTION("""COMPUTED_VALUE"""),"с ЕГАИС (без CheckMark2), МЕГАМАРКЕТ")</f>
        <v>с ЕГАИС (без CheckMark2), МЕГАМАРКЕТ</v>
      </c>
      <c r="C389" s="4" t="str">
        <f ca="1">IFERROR(__xludf.DUMMYFUNCTION("""COMPUTED_VALUE"""),"RTL15CEV-SHMSTOREC52")</f>
        <v>RTL15CEV-SHMSTOREC52</v>
      </c>
      <c r="D389" s="4" t="str">
        <f ca="1">IFERROR(__xludf.DUMMYFUNCTION("""COMPUTED_VALUE"""),"Mobile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доступн"&amp;"ые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"&amp;"печать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9" s="4" t="str">
        <f ca="1">IFERROR(__xludf.DUMMYFUNCTION("""COMPUTED_VALUE"""),"Mobile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")</f>
        <v xml:space="preserve">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</v>
      </c>
      <c r="F389" s="5">
        <f ca="1">IFERROR(__xludf.DUMMYFUNCTION("""COMPUTED_VALUE"""),23850)</f>
        <v>23850</v>
      </c>
    </row>
    <row r="390" spans="1:6" ht="86.25" customHeight="1" x14ac:dyDescent="0.2">
      <c r="A390" s="4" t="str">
        <f ca="1">IFERROR(__xludf.DUMMYFUNCTION("""COMPUTED_VALUE"""),"«Штрих-М: Розничная сеть 5.2»")</f>
        <v>«Штрих-М: Розничная сеть 5.2»</v>
      </c>
      <c r="B390" s="4" t="str">
        <f ca="1">IFERROR(__xludf.DUMMYFUNCTION("""COMPUTED_VALUE"""),"с МОТП, БАЗОВЫЙ")</f>
        <v>с МОТП, БАЗОВЫЙ</v>
      </c>
      <c r="C390" s="4" t="str">
        <f ca="1">IFERROR(__xludf.DUMMYFUNCTION("""COMPUTED_VALUE"""),"RTL15AT-SHMSTOREC52")</f>
        <v>RTL15AT-SHMSTOREC52</v>
      </c>
      <c r="D390" s="4" t="str">
        <f ca="1">IFERROR(__xludf.DUMMYFUNCTION("""COMPUTED_VALUE"""),"Mobile SMARTS: Магазин 15 с МОТП, БАЗОВЫЙ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т."&amp;"ч.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тов"&amp;"аре,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0" s="4" t="str">
        <f ca="1">IFERROR(__xludf.DUMMYFUNCTION("""COMPUTED_VALUE"""),"Mobile SMARTS: Магазин 15 с МОТП, БАЗОВЫЙ для «Штрих-М: Розничная сеть 5.2», для работы с маркированным товаром: ТАБАК и товары по штрихкодам ")</f>
        <v xml:space="preserve">Mobile SMARTS: Магазин 15 с МОТП, БАЗОВЫЙ для «Штрих-М: Розничная сеть 5.2», для работы с маркированным товаром: ТАБАК и товары по штрихкодам </v>
      </c>
      <c r="F390" s="5">
        <f ca="1">IFERROR(__xludf.DUMMYFUNCTION("""COMPUTED_VALUE"""),11150)</f>
        <v>11150</v>
      </c>
    </row>
    <row r="391" spans="1:6" ht="86.25" customHeight="1" x14ac:dyDescent="0.2">
      <c r="A391" s="4" t="str">
        <f ca="1">IFERROR(__xludf.DUMMYFUNCTION("""COMPUTED_VALUE"""),"«Штрих-М: Розничная сеть 5.2»")</f>
        <v>«Штрих-М: Розничная сеть 5.2»</v>
      </c>
      <c r="B391" s="4" t="str">
        <f ca="1">IFERROR(__xludf.DUMMYFUNCTION("""COMPUTED_VALUE"""),"с МОТП, РАСШИРЕННЫЙ")</f>
        <v>с МОТП, РАСШИРЕННЫЙ</v>
      </c>
      <c r="C391" s="4" t="str">
        <f ca="1">IFERROR(__xludf.DUMMYFUNCTION("""COMPUTED_VALUE"""),"RTL15BT-SHMSTOREC52")</f>
        <v>RTL15BT-SHMSTOREC52</v>
      </c>
      <c r="D391" s="4" t="str">
        <f ca="1">IFERROR(__xludf.DUMMYFUNCTION("""COMPUTED_VALUE"""),"Mobile SMARTS: Магазин 15 с МОТП, РАСШИРЕННЫЙ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("&amp;"в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1" s="4" t="str">
        <f ca="1">IFERROR(__xludf.DUMMYFUNCTION("""COMPUTED_VALUE"""),"Mobile SMARTS: Магазин 15 с МОТП, РАСШИРЕННЫЙ для «Штрих-М: Розничная сеть 5.2», для работы с маркированным товаром: ТАБАК и товары по штрихкодам ")</f>
        <v xml:space="preserve">Mobile SMARTS: Магазин 15 с МОТП, РАСШИРЕННЫЙ для «Штрих-М: Розничная сеть 5.2», для работы с маркированным товаром: ТАБАК и товары по штрихкодам </v>
      </c>
      <c r="F391" s="5">
        <f ca="1">IFERROR(__xludf.DUMMYFUNCTION("""COMPUTED_VALUE"""),17450)</f>
        <v>17450</v>
      </c>
    </row>
    <row r="392" spans="1:6" ht="86.25" customHeight="1" x14ac:dyDescent="0.2">
      <c r="A392" s="4" t="str">
        <f ca="1">IFERROR(__xludf.DUMMYFUNCTION("""COMPUTED_VALUE"""),"«Штрих-М: Розничная сеть 5.2»")</f>
        <v>«Штрих-М: Розничная сеть 5.2»</v>
      </c>
      <c r="B392" s="4" t="str">
        <f ca="1">IFERROR(__xludf.DUMMYFUNCTION("""COMPUTED_VALUE"""),"с МОТП, МЕГАМАРКЕТ")</f>
        <v>с МОТП, МЕГАМАРКЕТ</v>
      </c>
      <c r="C392" s="4" t="str">
        <f ca="1">IFERROR(__xludf.DUMMYFUNCTION("""COMPUTED_VALUE"""),"RTL15CT-SHMSTOREC52")</f>
        <v>RTL15CT-SHMSTOREC52</v>
      </c>
      <c r="D392" s="4" t="str">
        <f ca="1">IFERROR(__xludf.DUMMYFUNCTION("""COMPUTED_VALUE"""),"Mobile SMARTS: Магазин 15 с МОТП, МЕГАМАРКЕТ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(в"&amp;"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"&amp;"работа,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(о"&amp;"дин) год")</f>
        <v>Mobile SMARTS: Магазин 15 с МОТП, МЕГАМАРКЕТ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2" s="4" t="str">
        <f ca="1">IFERROR(__xludf.DUMMYFUNCTION("""COMPUTED_VALUE"""),"Mobile SMARTS: Магазин 15 с МОТП, МЕГАМАРКЕТ для «Штрих-М: Розничная сеть 5.2», для работы с маркированным товаром: ТАБАК и товары по штрихкодам ")</f>
        <v xml:space="preserve">Mobile SMARTS: Магазин 15 с МОТП, МЕГАМАРКЕТ для «Штрих-М: Розничная сеть 5.2», для работы с маркированным товаром: ТАБАК и товары по штрихкодам </v>
      </c>
      <c r="F392" s="5">
        <f ca="1">IFERROR(__xludf.DUMMYFUNCTION("""COMPUTED_VALUE"""),23850)</f>
        <v>23850</v>
      </c>
    </row>
    <row r="393" spans="1:6" ht="86.25" customHeight="1" x14ac:dyDescent="0.2">
      <c r="A393" s="4" t="str">
        <f ca="1">IFERROR(__xludf.DUMMYFUNCTION("""COMPUTED_VALUE"""),"«Штрих-М: Розничная сеть 5.2»")</f>
        <v>«Штрих-М: Розничная сеть 5.2»</v>
      </c>
      <c r="B393" s="4" t="str">
        <f ca="1">IFERROR(__xludf.DUMMYFUNCTION("""COMPUTED_VALUE"""),"с ЕГАИС и МОТП, БАЗОВЫЙ")</f>
        <v>с ЕГАИС и МОТП, БАЗОВЫЙ</v>
      </c>
      <c r="C393" s="4" t="str">
        <f ca="1">IFERROR(__xludf.DUMMYFUNCTION("""COMPUTED_VALUE"""),"RTL15AET-SHMSTOREC52")</f>
        <v>RTL15AET-SHMSTOREC52</v>
      </c>
      <c r="D393" s="4" t="str">
        <f ca="1">IFERROR(__xludf.DUMMYFUNCTION("""COMPUTED_VALUE"""),"Mobile SMARTS: Магазин 15 с ЕГАИС и МОТП, БАЗОВЫЙ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операции:"&amp;"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возмо"&amp;"жность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3" s="4" t="str">
        <f ca="1">IFERROR(__xludf.DUMMYFUNCTION("""COMPUTED_VALUE"""),"Mobile SMARTS: Магазин 15 с ЕГАИС и МОТП, БАЗОВЫЙ для «Штрих-М: Розничная сеть 5.2», для работы с маркированным товаром: АЛКОГОЛЬ, ТАБАК и товары по штрихкодам ")</f>
        <v xml:space="preserve">Mobile SMARTS: Магазин 15 с ЕГАИС и МОТП, БАЗОВЫЙ для «Штрих-М: Розничная сеть 5.2», для работы с маркированным товаром: АЛКОГОЛЬ, ТАБАК и товары по штрихкодам </v>
      </c>
      <c r="F393" s="5">
        <f ca="1">IFERROR(__xludf.DUMMYFUNCTION("""COMPUTED_VALUE"""),12150)</f>
        <v>12150</v>
      </c>
    </row>
    <row r="394" spans="1:6" ht="86.25" customHeight="1" x14ac:dyDescent="0.2">
      <c r="A394" s="4" t="str">
        <f ca="1">IFERROR(__xludf.DUMMYFUNCTION("""COMPUTED_VALUE"""),"«Штрих-М: Розничная сеть 5.2»")</f>
        <v>«Штрих-М: Розничная сеть 5.2»</v>
      </c>
      <c r="B394" s="4" t="str">
        <f ca="1">IFERROR(__xludf.DUMMYFUNCTION("""COMPUTED_VALUE"""),"с ЕГАИС и МОТП, РАСШИРЕННЫЙ")</f>
        <v>с ЕГАИС и МОТП, РАСШИРЕННЫЙ</v>
      </c>
      <c r="C394" s="4" t="str">
        <f ca="1">IFERROR(__xludf.DUMMYFUNCTION("""COMPUTED_VALUE"""),"RTL15BET-SHMSTOREC52")</f>
        <v>RTL15BET-SHMSTOREC52</v>
      </c>
      <c r="D394" s="4" t="str">
        <f ca="1">IFERROR(__xludf.DUMMYFUNCTION("""COMPUTED_VALUE"""),"Mobile SMARTS: Магазин 15 с ЕГАИС и МОТП, РАСШИРЕННЫЙ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опера"&amp;"ции: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штр"&amp;"ихкодов,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в"&amp;"озможность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4" s="4" t="str">
        <f ca="1">IFERROR(__xludf.DUMMYFUNCTION("""COMPUTED_VALUE"""),"Mobile SMARTS: Магазин 15 с ЕГАИС и МОТП, РАСШИРЕННЫЙ для «Штрих-М: Розничная сеть 5.2», для работы с маркированным товаром: АЛКОГОЛЬ, ТАБАК и товары по штрихкодам ")</f>
        <v xml:space="preserve">Mobile SMARTS: Магазин 15 с ЕГАИС и МОТП, РАСШИРЕННЫЙ для «Штрих-М: Розничная сеть 5.2», для работы с маркированным товаром: АЛКОГОЛЬ, ТАБАК и товары по штрихкодам </v>
      </c>
      <c r="F394" s="5">
        <f ca="1">IFERROR(__xludf.DUMMYFUNCTION("""COMPUTED_VALUE"""),18550)</f>
        <v>18550</v>
      </c>
    </row>
    <row r="395" spans="1:6" ht="86.25" customHeight="1" x14ac:dyDescent="0.2">
      <c r="A395" s="4" t="str">
        <f ca="1">IFERROR(__xludf.DUMMYFUNCTION("""COMPUTED_VALUE"""),"«Штрих-М: Розничная сеть 5.2»")</f>
        <v>«Штрих-М: Розничная сеть 5.2»</v>
      </c>
      <c r="B395" s="4" t="str">
        <f ca="1">IFERROR(__xludf.DUMMYFUNCTION("""COMPUTED_VALUE"""),"с ЕГАИС и МОТП, МЕГАМАРКЕТ")</f>
        <v>с ЕГАИС и МОТП, МЕГАМАРКЕТ</v>
      </c>
      <c r="C395" s="4" t="str">
        <f ca="1">IFERROR(__xludf.DUMMYFUNCTION("""COMPUTED_VALUE"""),"RTL15CET-SHMSTOREC52")</f>
        <v>RTL15CET-SHMSTOREC52</v>
      </c>
      <c r="D395" s="4" t="str">
        <f ca="1">IFERROR(__xludf.DUMMYFUNCTION("""COMPUTED_VALUE"""),"Mobile SMARTS: Магазин 15 с ЕГАИС и МОТП, МЕГАМАРКЕТ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операц"&amp;"ии: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штри"&amp;"хкодов,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сущес"&amp;"твующих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5" s="4" t="str">
        <f ca="1">IFERROR(__xludf.DUMMYFUNCTION("""COMPUTED_VALUE"""),"Mobile SMARTS: Магазин 15 с ЕГАИС и МОТП, МЕГАМАРКЕТ для «Штрих-М: Розничная сеть 5.2», для работы с маркированным товаром: АЛКОГОЛЬ, ТАБАК и товары по штрихкодам ")</f>
        <v xml:space="preserve">Mobile SMARTS: Магазин 15 с ЕГАИС и МОТП, МЕГАМАРКЕТ для «Штрих-М: Розничная сеть 5.2», для работы с маркированным товаром: АЛКОГОЛЬ, ТАБАК и товары по штрихкодам </v>
      </c>
      <c r="F395" s="5">
        <f ca="1">IFERROR(__xludf.DUMMYFUNCTION("""COMPUTED_VALUE"""),26350)</f>
        <v>26350</v>
      </c>
    </row>
    <row r="396" spans="1:6" ht="86.25" customHeight="1" x14ac:dyDescent="0.2">
      <c r="A396" s="4" t="str">
        <f ca="1">IFERROR(__xludf.DUMMYFUNCTION("""COMPUTED_VALUE"""),"«Штрих-М: Розничная сеть 5.2»")</f>
        <v>«Штрих-М: Розничная сеть 5.2»</v>
      </c>
      <c r="B396" s="4" t="str">
        <f ca="1">IFERROR(__xludf.DUMMYFUNCTION("""COMPUTED_VALUE"""),"ШМОТКИ, БАЗОВЫЙ")</f>
        <v>ШМОТКИ, БАЗОВЫЙ</v>
      </c>
      <c r="C396" s="4" t="str">
        <f ca="1">IFERROR(__xludf.DUMMYFUNCTION("""COMPUTED_VALUE"""),"RTL15AK-SHMSTOREC52")</f>
        <v>RTL15AK-SHMSTOREC52</v>
      </c>
      <c r="D396" s="4" t="str">
        <f ca="1">IFERROR(__xludf.DUMMYFUNCTION("""COMPUTED_VALUE"""),"Mobile SMARTS: Магазин 15 ШМОТКИ, БАЗОВЫЙ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опера"&amp;"ции: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возможн"&amp;"ости: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(оди"&amp;"н) год")</f>
        <v>Mobile SMARTS: Магазин 15 ШМОТКИ, БАЗОВЫЙ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6" s="4" t="str">
        <f ca="1">IFERROR(__xludf.DUMMYFUNCTION("""COMPUTED_VALUE"""),"Mobile SMARTS: Магазин 15 ШМОТКИ, БАЗОВЫЙ для «Штрих-М: Розничная сеть 5.2», для работы с маркированным товаром: ОБУВЬ, ОДЕЖДА, ПАРФЮМ, ШИНЫ и товары по штрихкодам ")</f>
        <v xml:space="preserve">Mobile SMARTS: Магазин 15 ШМОТКИ, БАЗОВЫЙ для «Штрих-М: Розничная сеть 5.2», для работы с маркированным товаром: ОБУВЬ, ОДЕЖДА, ПАРФЮМ, ШИНЫ и товары по штрихкодам </v>
      </c>
      <c r="F396" s="5">
        <f ca="1">IFERROR(__xludf.DUMMYFUNCTION("""COMPUTED_VALUE"""),12150)</f>
        <v>12150</v>
      </c>
    </row>
    <row r="397" spans="1:6" ht="86.25" customHeight="1" x14ac:dyDescent="0.2">
      <c r="A397" s="4" t="str">
        <f ca="1">IFERROR(__xludf.DUMMYFUNCTION("""COMPUTED_VALUE"""),"«Штрих-М: Розничная сеть 5.2»")</f>
        <v>«Штрих-М: Розничная сеть 5.2»</v>
      </c>
      <c r="B397" s="4" t="str">
        <f ca="1">IFERROR(__xludf.DUMMYFUNCTION("""COMPUTED_VALUE"""),"ШМОТКИ, РАСШИРЕННЫЙ")</f>
        <v>ШМОТКИ, РАСШИРЕННЫЙ</v>
      </c>
      <c r="C397" s="4" t="str">
        <f ca="1">IFERROR(__xludf.DUMMYFUNCTION("""COMPUTED_VALUE"""),"RTL15BK-SHMSTOREC52")</f>
        <v>RTL15BK-SHMSTOREC52</v>
      </c>
      <c r="D397" s="4" t="str">
        <f ca="1">IFERROR(__xludf.DUMMYFUNCTION("""COMPUTED_VALUE"""),"Mobile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7" s="4" t="str">
        <f ca="1">IFERROR(__xludf.DUMMYFUNCTION("""COMPUTED_VALUE"""),"Mobile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")</f>
        <v xml:space="preserve">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</v>
      </c>
      <c r="F397" s="5">
        <f ca="1">IFERROR(__xludf.DUMMYFUNCTION("""COMPUTED_VALUE"""),18550)</f>
        <v>18550</v>
      </c>
    </row>
    <row r="398" spans="1:6" ht="86.25" customHeight="1" x14ac:dyDescent="0.2">
      <c r="A398" s="4" t="str">
        <f ca="1">IFERROR(__xludf.DUMMYFUNCTION("""COMPUTED_VALUE"""),"«Штрих-М: Розничная сеть 5.2»")</f>
        <v>«Штрих-М: Розничная сеть 5.2»</v>
      </c>
      <c r="B398" s="4" t="str">
        <f ca="1">IFERROR(__xludf.DUMMYFUNCTION("""COMPUTED_VALUE"""),"ШМОТКИ, МЕГАМАРКЕТ")</f>
        <v>ШМОТКИ, МЕГАМАРКЕТ</v>
      </c>
      <c r="C398" s="4" t="str">
        <f ca="1">IFERROR(__xludf.DUMMYFUNCTION("""COMPUTED_VALUE"""),"RTL15CK-SHMSTOREC52")</f>
        <v>RTL15CK-SHMSTOREC52</v>
      </c>
      <c r="D398" s="4" t="str">
        <f ca="1">IFERROR(__xludf.DUMMYFUNCTION("""COMPUTED_VALUE"""),"Mobile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оп"&amp;"ерации: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возм"&amp;"ожности: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8" s="4" t="str">
        <f ca="1">IFERROR(__xludf.DUMMYFUNCTION("""COMPUTED_VALUE"""),"Mobile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")</f>
        <v xml:space="preserve">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</v>
      </c>
      <c r="F398" s="5">
        <f ca="1">IFERROR(__xludf.DUMMYFUNCTION("""COMPUTED_VALUE"""),26350)</f>
        <v>26350</v>
      </c>
    </row>
    <row r="399" spans="1:6" ht="86.25" customHeight="1" x14ac:dyDescent="0.2">
      <c r="A399" s="4" t="str">
        <f ca="1">IFERROR(__xludf.DUMMYFUNCTION("""COMPUTED_VALUE"""),"«Штрих-М: Розничная сеть 5.2»")</f>
        <v>«Штрих-М: Розничная сеть 5.2»</v>
      </c>
      <c r="B399" s="4" t="str">
        <f ca="1">IFERROR(__xludf.DUMMYFUNCTION("""COMPUTED_VALUE"""),"ПРОДУКТОВЫЙ, БАЗОВЫЙ")</f>
        <v>ПРОДУКТОВЫЙ, БАЗОВЫЙ</v>
      </c>
      <c r="C399" s="4" t="str">
        <f ca="1">IFERROR(__xludf.DUMMYFUNCTION("""COMPUTED_VALUE"""),"RTL15AG-SHMSTOREC52")</f>
        <v>RTL15AG-SHMSTOREC52</v>
      </c>
      <c r="D399" s="4" t="str">
        <f ca="1">IFERROR(__xludf.DUMMYFUNCTION("""COMPUTED_VALUE"""),"Mobile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через"&amp;"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т."&amp;"ч.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9" s="4" t="str">
        <f ca="1">IFERROR(__xludf.DUMMYFUNCTION("""COMPUTED_VALUE"""),"Mobile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</v>
      </c>
      <c r="F399" s="5">
        <f ca="1">IFERROR(__xludf.DUMMYFUNCTION("""COMPUTED_VALUE"""),14550)</f>
        <v>14550</v>
      </c>
    </row>
    <row r="400" spans="1:6" ht="86.25" customHeight="1" x14ac:dyDescent="0.2">
      <c r="A400" s="4" t="str">
        <f ca="1">IFERROR(__xludf.DUMMYFUNCTION("""COMPUTED_VALUE"""),"«Штрих-М: Розничная сеть 5.2»")</f>
        <v>«Штрих-М: Розничная сеть 5.2»</v>
      </c>
      <c r="B400" s="4" t="str">
        <f ca="1">IFERROR(__xludf.DUMMYFUNCTION("""COMPUTED_VALUE"""),"ПРОДУКТОВЫЙ, РАСШИРЕННЫЙ")</f>
        <v>ПРОДУКТОВЫЙ, РАСШИРЕННЫЙ</v>
      </c>
      <c r="C400" s="4" t="str">
        <f ca="1">IFERROR(__xludf.DUMMYFUNCTION("""COMPUTED_VALUE"""),"RTL15BG-SHMSTOREC52")</f>
        <v>RTL15BG-SHMSTOREC52</v>
      </c>
      <c r="D400" s="4" t="str">
        <f ca="1">IFERROR(__xludf.DUMMYFUNCTION("""COMPUTED_VALUE"""),"Mobile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ч"&amp;"ерез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("&amp;"в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на"&amp;"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0" s="4" t="str">
        <f ca="1">IFERROR(__xludf.DUMMYFUNCTION("""COMPUTED_VALUE"""),"Mobile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</v>
      </c>
      <c r="F400" s="5">
        <f ca="1">IFERROR(__xludf.DUMMYFUNCTION("""COMPUTED_VALUE"""),20950)</f>
        <v>20950</v>
      </c>
    </row>
    <row r="401" spans="1:6" ht="86.25" customHeight="1" x14ac:dyDescent="0.2">
      <c r="A401" s="4" t="str">
        <f ca="1">IFERROR(__xludf.DUMMYFUNCTION("""COMPUTED_VALUE"""),"«Штрих-М: Розничная сеть 5.2»")</f>
        <v>«Штрих-М: Розничная сеть 5.2»</v>
      </c>
      <c r="B401" s="4" t="str">
        <f ca="1">IFERROR(__xludf.DUMMYFUNCTION("""COMPUTED_VALUE"""),"ПРОДУКТОВЫЙ, МЕГАМАРКЕТ")</f>
        <v>ПРОДУКТОВЫЙ, МЕГАМАРКЕТ</v>
      </c>
      <c r="C401" s="4" t="str">
        <f ca="1">IFERROR(__xludf.DUMMYFUNCTION("""COMPUTED_VALUE"""),"RTL15CG-SHMSTOREC52")</f>
        <v>RTL15CG-SHMSTOREC52</v>
      </c>
      <c r="D401" s="4" t="str">
        <f ca="1">IFERROR(__xludf.DUMMYFUNCTION("""COMPUTED_VALUE"""),"Mobile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че"&amp;"рез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(в"&amp;"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контрагентах,"&amp;"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1" s="4" t="str">
        <f ca="1">IFERROR(__xludf.DUMMYFUNCTION("""COMPUTED_VALUE"""),"Mobile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</v>
      </c>
      <c r="F401" s="5">
        <f ca="1">IFERROR(__xludf.DUMMYFUNCTION("""COMPUTED_VALUE"""),28250)</f>
        <v>28250</v>
      </c>
    </row>
    <row r="402" spans="1:6" ht="86.25" customHeight="1" x14ac:dyDescent="0.2">
      <c r="A402" s="4"/>
      <c r="B402" s="4"/>
      <c r="C402" s="4"/>
      <c r="D402" s="4" t="str">
        <f ca="1">IFERROR(__xludf.DUMMYFUNCTION("""COMPUTED_VALUE"""),"Лицензии для «Далион» стандартные")</f>
        <v>Лицензии для «Далион» стандартные</v>
      </c>
      <c r="E402" s="4" t="str">
        <f ca="1">IFERROR(__xludf.DUMMYFUNCTION("""COMPUTED_VALUE"""),"#VALUE!")</f>
        <v>#VALUE!</v>
      </c>
      <c r="F402" s="5" t="str">
        <f ca="1">IFERROR(__xludf.DUMMYFUNCTION("""COMPUTED_VALUE"""),"#N/A")</f>
        <v>#N/A</v>
      </c>
    </row>
    <row r="403" spans="1:6" ht="86.25" customHeight="1" x14ac:dyDescent="0.2">
      <c r="A403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3" s="4" t="str">
        <f ca="1">IFERROR(__xludf.DUMMYFUNCTION("""COMPUTED_VALUE"""),"МИНИМУМ")</f>
        <v>МИНИМУМ</v>
      </c>
      <c r="C403" s="4" t="str">
        <f ca="1">IFERROR(__xludf.DUMMYFUNCTION("""COMPUTED_VALUE"""),"RTL15M-DALION")</f>
        <v>RTL15M-DALION</v>
      </c>
      <c r="D403" s="4" t="str">
        <f ca="1">IFERROR(__xludf.DUMMYFUNCTION("""COMPUTED_VALUE"""),"Mobile SMARTS: Магазин 15, МИНИМУМ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про"&amp;"смотр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Интер"&amp;"нет на 1 (один) год")</f>
        <v>Mobile SMARTS: Магазин 15, МИНИМУМ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03" s="4" t="str">
        <f ca="1">IFERROR(__xludf.DUMMYFUNCTION("""COMPUTED_VALUE"""),"Mobile SMARTS: Магазин 15, МИНИМУМ для «ДАЛИОН: Управление магазином 1.2» ПРО/УНО/СЕТЬ, для работы с товаром по штрихкодам ")</f>
        <v xml:space="preserve">Mobile SMARTS: Магазин 15, МИНИМУМ для «ДАЛИОН: Управление магазином 1.2» ПРО/УНО/СЕТЬ, для работы с товаром по штрихкодам </v>
      </c>
      <c r="F403" s="5">
        <f ca="1">IFERROR(__xludf.DUMMYFUNCTION("""COMPUTED_VALUE"""),3450)</f>
        <v>3450</v>
      </c>
    </row>
    <row r="404" spans="1:6" ht="86.25" customHeight="1" x14ac:dyDescent="0.2">
      <c r="A404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4" s="4" t="str">
        <f ca="1">IFERROR(__xludf.DUMMYFUNCTION("""COMPUTED_VALUE"""),"БАЗОВЫЙ")</f>
        <v>БАЗОВЫЙ</v>
      </c>
      <c r="C404" s="4" t="str">
        <f ca="1">IFERROR(__xludf.DUMMYFUNCTION("""COMPUTED_VALUE"""),"RTL15A-DALION")</f>
        <v>RTL15A-DALION</v>
      </c>
      <c r="D404" s="4" t="str">
        <f ca="1">IFERROR(__xludf.DUMMYFUNCTION("""COMPUTED_VALUE"""),"Mobile SMARTS: Магазин 15, БАЗОВЫЙ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переоце"&amp;"нка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измене"&amp;"ние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4" s="4" t="str">
        <f ca="1">IFERROR(__xludf.DUMMYFUNCTION("""COMPUTED_VALUE"""),"Mobile SMARTS: Магазин 15, БАЗОВЫЙ для «ДАЛИОН: Управление магазином 1.2» ПРО/УНО/СЕТЬ, для работы с товаром по штрихкодам ")</f>
        <v xml:space="preserve">Mobile SMARTS: Магазин 15, БАЗОВЫЙ для «ДАЛИОН: Управление магазином 1.2» ПРО/УНО/СЕТЬ, для работы с товаром по штрихкодам </v>
      </c>
      <c r="F404" s="5">
        <f ca="1">IFERROR(__xludf.DUMMYFUNCTION("""COMPUTED_VALUE"""),8650)</f>
        <v>8650</v>
      </c>
    </row>
    <row r="405" spans="1:6" ht="86.25" customHeight="1" x14ac:dyDescent="0.2">
      <c r="A405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5" s="4" t="str">
        <f ca="1">IFERROR(__xludf.DUMMYFUNCTION("""COMPUTED_VALUE"""),"РАСШИРЕННЫЙ")</f>
        <v>РАСШИРЕННЫЙ</v>
      </c>
      <c r="C405" s="4" t="str">
        <f ca="1">IFERROR(__xludf.DUMMYFUNCTION("""COMPUTED_VALUE"""),"RTL15B-DALION")</f>
        <v>RTL15B-DALION</v>
      </c>
      <c r="D405" s="4" t="str">
        <f ca="1">IFERROR(__xludf.DUMMYFUNCTION("""COMPUTED_VALUE"""),"Mobile SMARTS: Магазин 15, РАСШИРЕННЫЙ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пер"&amp;"еоценка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из"&amp;"менение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5" s="4" t="str">
        <f ca="1">IFERROR(__xludf.DUMMYFUNCTION("""COMPUTED_VALUE"""),"Mobile SMARTS: Магазин 15, РАСШИРЕННЫЙ для «ДАЛИОН: Управление магазином 1.2» ПРО/УНО/СЕТЬ, для работы с товаром по штрихкодам ")</f>
        <v xml:space="preserve">Mobile SMARTS: Магазин 15, РАСШИРЕННЫЙ для «ДАЛИОН: Управление магазином 1.2» ПРО/УНО/СЕТЬ, для работы с товаром по штрихкодам </v>
      </c>
      <c r="F405" s="5">
        <f ca="1">IFERROR(__xludf.DUMMYFUNCTION("""COMPUTED_VALUE"""),15050)</f>
        <v>15050</v>
      </c>
    </row>
    <row r="406" spans="1:6" ht="86.25" customHeight="1" x14ac:dyDescent="0.2">
      <c r="A406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6" s="4" t="str">
        <f ca="1">IFERROR(__xludf.DUMMYFUNCTION("""COMPUTED_VALUE"""),"МЕГАМАРКЕТ")</f>
        <v>МЕГАМАРКЕТ</v>
      </c>
      <c r="C406" s="4" t="str">
        <f ca="1">IFERROR(__xludf.DUMMYFUNCTION("""COMPUTED_VALUE"""),"RTL15C-DALION")</f>
        <v>RTL15C-DALION</v>
      </c>
      <c r="D406" s="4" t="str">
        <f ca="1">IFERROR(__xludf.DUMMYFUNCTION("""COMPUTED_VALUE"""),"Mobile SMARTS: Магазин 15, МЕГАМАРКЕТ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"&amp;"ценах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6" s="4" t="str">
        <f ca="1">IFERROR(__xludf.DUMMYFUNCTION("""COMPUTED_VALUE"""),"Mobile SMARTS: Магазин 15, МЕГАМАРКЕТ для «ДАЛИОН: Управление магазином 1.2» ПРО/УНО/СЕТЬ, для работы с товаром по штрихкодам ")</f>
        <v xml:space="preserve">Mobile SMARTS: Магазин 15, МЕГАМАРКЕТ для «ДАЛИОН: Управление магазином 1.2» ПРО/УНО/СЕТЬ, для работы с товаром по штрихкодам </v>
      </c>
      <c r="F406" s="5">
        <f ca="1">IFERROR(__xludf.DUMMYFUNCTION("""COMPUTED_VALUE"""),21550)</f>
        <v>21550</v>
      </c>
    </row>
    <row r="407" spans="1:6" ht="86.25" customHeight="1" x14ac:dyDescent="0.2">
      <c r="A407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7" s="4" t="str">
        <f ca="1">IFERROR(__xludf.DUMMYFUNCTION("""COMPUTED_VALUE"""),"с ЕГАИС, БАЗОВЫЙ")</f>
        <v>с ЕГАИС, БАЗОВЫЙ</v>
      </c>
      <c r="C407" s="4" t="str">
        <f ca="1">IFERROR(__xludf.DUMMYFUNCTION("""COMPUTED_VALUE"""),"RTL15AE-DALION")</f>
        <v>RTL15AE-DALION</v>
      </c>
      <c r="D407" s="4" t="str">
        <f ca="1">IFERROR(__xludf.DUMMYFUNCTION("""COMPUTED_VALUE"""),"Mobile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доступные"&amp;"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при"&amp;"нтер,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го"&amp;"д")</f>
        <v>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07" s="4" t="str">
        <f ca="1">IFERROR(__xludf.DUMMYFUNCTION("""COMPUTED_VALUE"""),"Mobile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")</f>
        <v xml:space="preserve">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</v>
      </c>
      <c r="F407" s="5">
        <f ca="1">IFERROR(__xludf.DUMMYFUNCTION("""COMPUTED_VALUE"""),11000)</f>
        <v>11000</v>
      </c>
    </row>
    <row r="408" spans="1:6" ht="86.25" customHeight="1" x14ac:dyDescent="0.2">
      <c r="A408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8" s="4" t="str">
        <f ca="1">IFERROR(__xludf.DUMMYFUNCTION("""COMPUTED_VALUE"""),"с ЕГАИС, РАСШИРЕННЫЙ")</f>
        <v>с ЕГАИС, РАСШИРЕННЫЙ</v>
      </c>
      <c r="C408" s="4" t="str">
        <f ca="1">IFERROR(__xludf.DUMMYFUNCTION("""COMPUTED_VALUE"""),"RTL15BE-DALION")</f>
        <v>RTL15BE-DALION</v>
      </c>
      <c r="D408" s="4" t="str">
        <f ca="1">IFERROR(__xludf.DUMMYFUNCTION("""COMPUTED_VALUE"""),"Mobile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досту"&amp;"пные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мобильный"&amp;"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8" s="4" t="str">
        <f ca="1">IFERROR(__xludf.DUMMYFUNCTION("""COMPUTED_VALUE"""),"Mobile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")</f>
        <v xml:space="preserve">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</v>
      </c>
      <c r="F408" s="5">
        <f ca="1">IFERROR(__xludf.DUMMYFUNCTION("""COMPUTED_VALUE"""),17450)</f>
        <v>17450</v>
      </c>
    </row>
    <row r="409" spans="1:6" ht="86.25" customHeight="1" x14ac:dyDescent="0.2">
      <c r="A409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9" s="4" t="str">
        <f ca="1">IFERROR(__xludf.DUMMYFUNCTION("""COMPUTED_VALUE"""),"с ЕГАИС (без CheckMark2), МЕГАМАРКЕТ")</f>
        <v>с ЕГАИС (без CheckMark2), МЕГАМАРКЕТ</v>
      </c>
      <c r="C409" s="4" t="str">
        <f ca="1">IFERROR(__xludf.DUMMYFUNCTION("""COMPUTED_VALUE"""),"RTL15CEV-DALION")</f>
        <v>RTL15CEV-DALION</v>
      </c>
      <c r="D409" s="4" t="str">
        <f ca="1">IFERROR(__xludf.DUMMYFUNCTION("""COMPUTED_VALUE"""),"Mobile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ест"&amp;"ь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кол"&amp;"лективная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9" s="4" t="str">
        <f ca="1">IFERROR(__xludf.DUMMYFUNCTION("""COMPUTED_VALUE"""),"Mobile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")</f>
        <v xml:space="preserve">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</v>
      </c>
      <c r="F409" s="5">
        <f ca="1">IFERROR(__xludf.DUMMYFUNCTION("""COMPUTED_VALUE"""),23850)</f>
        <v>23850</v>
      </c>
    </row>
    <row r="410" spans="1:6" ht="86.25" customHeight="1" x14ac:dyDescent="0.2">
      <c r="A410" s="4" t="str">
        <f ca="1">IFERROR(__xludf.DUMMYFUNCTION("""COMPUTED_VALUE"""),"«ДАЛИОН: Управление магазином 1.2» ЛАЙТ")</f>
        <v>«ДАЛИОН: Управление магазином 1.2» ЛАЙТ</v>
      </c>
      <c r="B410" s="4" t="str">
        <f ca="1">IFERROR(__xludf.DUMMYFUNCTION("""COMPUTED_VALUE"""),"МИНИМУМ")</f>
        <v>МИНИМУМ</v>
      </c>
      <c r="C410" s="4" t="str">
        <f ca="1">IFERROR(__xludf.DUMMYFUNCTION("""COMPUTED_VALUE"""),"RTL15M-DALIONLITE12")</f>
        <v>RTL15M-DALIONLITE12</v>
      </c>
      <c r="D410" s="4" t="str">
        <f ca="1">IFERROR(__xludf.DUMMYFUNCTION("""COMPUTED_VALUE"""),"Mobile SMARTS: Магазин 15, МИНИМУМ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то"&amp;"варов,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1"&amp;" (один) год")</f>
        <v>Mobile SMARTS: Магазин 15, МИНИМУМ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0" s="4" t="str">
        <f ca="1">IFERROR(__xludf.DUMMYFUNCTION("""COMPUTED_VALUE"""),"Mobile SMARTS: Магазин 15, МИНИМУМ для «ДАЛИОН: Управление магазином 1.2» ЛАЙТ, для работы с товаром по штрихкодам ")</f>
        <v xml:space="preserve">Mobile SMARTS: Магазин 15, МИНИМУМ для «ДАЛИОН: Управление магазином 1.2» ЛАЙТ, для работы с товаром по штрихкодам </v>
      </c>
      <c r="F410" s="5">
        <f ca="1">IFERROR(__xludf.DUMMYFUNCTION("""COMPUTED_VALUE"""),3450)</f>
        <v>3450</v>
      </c>
    </row>
    <row r="411" spans="1:6" ht="86.25" customHeight="1" x14ac:dyDescent="0.2">
      <c r="A411" s="4" t="str">
        <f ca="1">IFERROR(__xludf.DUMMYFUNCTION("""COMPUTED_VALUE"""),"«ДАЛИОН: Управление магазином 1.2» ЛАЙТ")</f>
        <v>«ДАЛИОН: Управление магазином 1.2» ЛАЙТ</v>
      </c>
      <c r="B411" s="4" t="str">
        <f ca="1">IFERROR(__xludf.DUMMYFUNCTION("""COMPUTED_VALUE"""),"БАЗОВЫЙ")</f>
        <v>БАЗОВЫЙ</v>
      </c>
      <c r="C411" s="4" t="str">
        <f ca="1">IFERROR(__xludf.DUMMYFUNCTION("""COMPUTED_VALUE"""),"RTL15A-DALIONLITE12")</f>
        <v>RTL15A-DALIONLITE12</v>
      </c>
      <c r="D411" s="4" t="str">
        <f ca="1">IFERROR(__xludf.DUMMYFUNCTION("""COMPUTED_VALUE"""),"Mobile SMARTS: Магазин 15, БАЗОВЫЙ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1" s="4" t="str">
        <f ca="1">IFERROR(__xludf.DUMMYFUNCTION("""COMPUTED_VALUE"""),"Mobile SMARTS: Магазин 15, БАЗОВЫЙ для «ДАЛИОН: Управление магазином 1.2» ЛАЙТ, для работы с товаром по штрихкодам ")</f>
        <v xml:space="preserve">Mobile SMARTS: Магазин 15, БАЗОВЫЙ для «ДАЛИОН: Управление магазином 1.2» ЛАЙТ, для работы с товаром по штрихкодам </v>
      </c>
      <c r="F411" s="5">
        <f ca="1">IFERROR(__xludf.DUMMYFUNCTION("""COMPUTED_VALUE"""),8650)</f>
        <v>8650</v>
      </c>
    </row>
    <row r="412" spans="1:6" ht="86.25" customHeight="1" x14ac:dyDescent="0.2">
      <c r="A412" s="4" t="str">
        <f ca="1">IFERROR(__xludf.DUMMYFUNCTION("""COMPUTED_VALUE"""),"«ДАЛИОН: Управление магазином 1.2» ЛАЙТ")</f>
        <v>«ДАЛИОН: Управление магазином 1.2» ЛАЙТ</v>
      </c>
      <c r="B412" s="4" t="str">
        <f ca="1">IFERROR(__xludf.DUMMYFUNCTION("""COMPUTED_VALUE"""),"с ЕГАИС, БАЗОВЫЙ")</f>
        <v>с ЕГАИС, БАЗОВЫЙ</v>
      </c>
      <c r="C412" s="4" t="str">
        <f ca="1">IFERROR(__xludf.DUMMYFUNCTION("""COMPUTED_VALUE"""),"RTL15AE-DALIONLITE12")</f>
        <v>RTL15AE-DALIONLITE12</v>
      </c>
      <c r="D412" s="4" t="str">
        <f ca="1">IFERROR(__xludf.DUMMYFUNCTION("""COMPUTED_VALUE"""),"Mobile SMARTS: Магазин 15 с ЕГАИС, БАЗОВЫЙ для «ДАЛИОН: Управление магазином 1.2» ЛАЙТ,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ин"&amp;"формация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«ДАЛИОН: Управление магазином 1.2» ЛАЙТ,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2" s="4" t="str">
        <f ca="1">IFERROR(__xludf.DUMMYFUNCTION("""COMPUTED_VALUE"""),"Mobile SMARTS: Магазин 15 с ЕГАИС, БАЗОВЫЙ для «ДАЛИОН: Управление магазином 1.2» ЛАЙТ, для работы с маркированным товаром: алкоголь ЕГАИС и товары по штрихкодам ")</f>
        <v xml:space="preserve">Mobile SMARTS: Магазин 15 с ЕГАИС, БАЗОВЫЙ для «ДАЛИОН: Управление магазином 1.2» ЛАЙТ, для работы с маркированным товаром: алкоголь ЕГАИС и товары по штрихкодам </v>
      </c>
      <c r="F412" s="5">
        <f ca="1">IFERROR(__xludf.DUMMYFUNCTION("""COMPUTED_VALUE"""),11000)</f>
        <v>11000</v>
      </c>
    </row>
    <row r="413" spans="1:6" ht="86.25" customHeight="1" x14ac:dyDescent="0.2">
      <c r="A413" s="4" t="str">
        <f ca="1">IFERROR(__xludf.DUMMYFUNCTION("""COMPUTED_VALUE"""),"«ДАЛИОН: Управление магазином 2.0»")</f>
        <v>«ДАЛИОН: Управление магазином 2.0»</v>
      </c>
      <c r="B413" s="4" t="str">
        <f ca="1">IFERROR(__xludf.DUMMYFUNCTION("""COMPUTED_VALUE"""),"МИНИМУМ")</f>
        <v>МИНИМУМ</v>
      </c>
      <c r="C413" s="4" t="str">
        <f ca="1">IFERROR(__xludf.DUMMYFUNCTION("""COMPUTED_VALUE"""),"RTL15M-DALIONUM20")</f>
        <v>RTL15M-DALIONUM20</v>
      </c>
      <c r="D413" s="4" t="str">
        <f ca="1">IFERROR(__xludf.DUMMYFUNCTION("""COMPUTED_VALUE"""),"Mobile SMARTS: Магазин 15, МИНИМУМ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товаров"&amp;",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(оди"&amp;"н) год")</f>
        <v>Mobile SMARTS: Магазин 15, МИНИМУМ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3" s="4" t="str">
        <f ca="1">IFERROR(__xludf.DUMMYFUNCTION("""COMPUTED_VALUE"""),"Mobile SMARTS: Магазин 15, МИНИМУМ для «ДАЛИОН: Управление магазином 2.0», для работы с товаром по штрихкодам ")</f>
        <v xml:space="preserve">Mobile SMARTS: Магазин 15, МИНИМУМ для «ДАЛИОН: Управление магазином 2.0», для работы с товаром по штрихкодам </v>
      </c>
      <c r="F413" s="5">
        <f ca="1">IFERROR(__xludf.DUMMYFUNCTION("""COMPUTED_VALUE"""),3450)</f>
        <v>3450</v>
      </c>
    </row>
    <row r="414" spans="1:6" ht="86.25" customHeight="1" x14ac:dyDescent="0.2">
      <c r="A414" s="4" t="str">
        <f ca="1">IFERROR(__xludf.DUMMYFUNCTION("""COMPUTED_VALUE"""),"«ДАЛИОН: Управление магазином 2.0»")</f>
        <v>«ДАЛИОН: Управление магазином 2.0»</v>
      </c>
      <c r="B414" s="4" t="str">
        <f ca="1">IFERROR(__xludf.DUMMYFUNCTION("""COMPUTED_VALUE"""),"БАЗОВЫЙ")</f>
        <v>БАЗОВЫЙ</v>
      </c>
      <c r="C414" s="4" t="str">
        <f ca="1">IFERROR(__xludf.DUMMYFUNCTION("""COMPUTED_VALUE"""),"RTL15A-DALIONUM20")</f>
        <v>RTL15A-DALIONUM20</v>
      </c>
      <c r="D414" s="4" t="str">
        <f ca="1">IFERROR(__xludf.DUMMYFUNCTION("""COMPUTED_VALUE"""),"Mobile SMARTS: Магазин 15, БАЗОВЫЙ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4" s="4" t="str">
        <f ca="1">IFERROR(__xludf.DUMMYFUNCTION("""COMPUTED_VALUE"""),"Mobile SMARTS: Магазин 15, БАЗОВЫЙ для «ДАЛИОН: Управление магазином 2.0», для работы с товаром по штрихкодам ")</f>
        <v xml:space="preserve">Mobile SMARTS: Магазин 15, БАЗОВЫЙ для «ДАЛИОН: Управление магазином 2.0», для работы с товаром по штрихкодам </v>
      </c>
      <c r="F414" s="5">
        <f ca="1">IFERROR(__xludf.DUMMYFUNCTION("""COMPUTED_VALUE"""),8650)</f>
        <v>8650</v>
      </c>
    </row>
    <row r="415" spans="1:6" ht="86.25" customHeight="1" x14ac:dyDescent="0.2">
      <c r="A415" s="4" t="str">
        <f ca="1">IFERROR(__xludf.DUMMYFUNCTION("""COMPUTED_VALUE"""),"«ДАЛИОН: Управление магазином 2.0»")</f>
        <v>«ДАЛИОН: Управление магазином 2.0»</v>
      </c>
      <c r="B415" s="4" t="str">
        <f ca="1">IFERROR(__xludf.DUMMYFUNCTION("""COMPUTED_VALUE"""),"РАСШИРЕННЫЙ")</f>
        <v>РАСШИРЕННЫЙ</v>
      </c>
      <c r="C415" s="4" t="str">
        <f ca="1">IFERROR(__xludf.DUMMYFUNCTION("""COMPUTED_VALUE"""),"RTL15B-DALIONUM20")</f>
        <v>RTL15B-DALIONUM20</v>
      </c>
      <c r="D415" s="4" t="str">
        <f ca="1">IFERROR(__xludf.DUMMYFUNCTION("""COMPUTED_VALUE"""),"Mobile SMARTS: Магазин 15, РАСШИРЕННЫЙ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сущес"&amp;"твующих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5" s="4" t="str">
        <f ca="1">IFERROR(__xludf.DUMMYFUNCTION("""COMPUTED_VALUE"""),"Mobile SMARTS: Магазин 15, РАСШИРЕННЫЙ для «ДАЛИОН: Управление магазином 2.0», для работы с товаром по штрихкодам ")</f>
        <v xml:space="preserve">Mobile SMARTS: Магазин 15, РАСШИРЕННЫЙ для «ДАЛИОН: Управление магазином 2.0», для работы с товаром по штрихкодам </v>
      </c>
      <c r="F415" s="5">
        <f ca="1">IFERROR(__xludf.DUMMYFUNCTION("""COMPUTED_VALUE"""),15050)</f>
        <v>15050</v>
      </c>
    </row>
    <row r="416" spans="1:6" ht="86.25" customHeight="1" x14ac:dyDescent="0.2">
      <c r="A416" s="4" t="str">
        <f ca="1">IFERROR(__xludf.DUMMYFUNCTION("""COMPUTED_VALUE"""),"«ДАЛИОН: Управление магазином 2.0»")</f>
        <v>«ДАЛИОН: Управление магазином 2.0»</v>
      </c>
      <c r="B416" s="4" t="str">
        <f ca="1">IFERROR(__xludf.DUMMYFUNCTION("""COMPUTED_VALUE"""),"МЕГАМАРКЕТ")</f>
        <v>МЕГАМАРКЕТ</v>
      </c>
      <c r="C416" s="4" t="str">
        <f ca="1">IFERROR(__xludf.DUMMYFUNCTION("""COMPUTED_VALUE"""),"RTL15C-DALIONUM20")</f>
        <v>RTL15C-DALIONUM20</v>
      </c>
      <c r="D416" s="4" t="str">
        <f ca="1">IFERROR(__xludf.DUMMYFUNCTION("""COMPUTED_VALUE"""),"Mobile SMARTS: Магазин 15, МЕГАМАРКЕТ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т.ч"&amp;".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экра"&amp;"не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6" s="4" t="str">
        <f ca="1">IFERROR(__xludf.DUMMYFUNCTION("""COMPUTED_VALUE"""),"Mobile SMARTS: Магазин 15, МЕГАМАРКЕТ для «ДАЛИОН: Управление магазином 2.0», для работы с товаром по штрихкодам ")</f>
        <v xml:space="preserve">Mobile SMARTS: Магазин 15, МЕГАМАРКЕТ для «ДАЛИОН: Управление магазином 2.0», для работы с товаром по штрихкодам </v>
      </c>
      <c r="F416" s="5">
        <f ca="1">IFERROR(__xludf.DUMMYFUNCTION("""COMPUTED_VALUE"""),21550)</f>
        <v>21550</v>
      </c>
    </row>
    <row r="417" spans="1:6" ht="86.25" customHeight="1" x14ac:dyDescent="0.2">
      <c r="A417" s="4" t="str">
        <f ca="1">IFERROR(__xludf.DUMMYFUNCTION("""COMPUTED_VALUE"""),"«ДАЛИОН: Управление магазином 2.0»")</f>
        <v>«ДАЛИОН: Управление магазином 2.0»</v>
      </c>
      <c r="B417" s="4" t="str">
        <f ca="1">IFERROR(__xludf.DUMMYFUNCTION("""COMPUTED_VALUE"""),"с ЕГАИС, БАЗОВЫЙ")</f>
        <v>с ЕГАИС, БАЗОВЫЙ</v>
      </c>
      <c r="C417" s="4" t="str">
        <f ca="1">IFERROR(__xludf.DUMMYFUNCTION("""COMPUTED_VALUE"""),"RTL15AE-DALIONUM20")</f>
        <v>RTL15AE-DALIONUM20</v>
      </c>
      <c r="D417" s="4" t="str">
        <f ca="1">IFERROR(__xludf.DUMMYFUNCTION("""COMPUTED_VALUE"""),"Mobile SMARTS: Магазин 15 с ЕГАИС, БАЗОВЫЙ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сб"&amp;"ор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информа"&amp;"ция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7" s="4" t="str">
        <f ca="1">IFERROR(__xludf.DUMMYFUNCTION("""COMPUTED_VALUE"""),"Mobile SMARTS: Магазин 15 с ЕГАИС, БАЗОВЫЙ для «ДАЛИОН: Управление магазином 2.0», для работы с маркированным товаром: алкоголь ЕГАИС и товары по штрихкодам ")</f>
        <v xml:space="preserve">Mobile SMARTS: Магазин 15 с ЕГАИС, БАЗОВЫЙ для «ДАЛИОН: Управление магазином 2.0», для работы с маркированным товаром: алкоголь ЕГАИС и товары по штрихкодам </v>
      </c>
      <c r="F417" s="5">
        <f ca="1">IFERROR(__xludf.DUMMYFUNCTION("""COMPUTED_VALUE"""),11000)</f>
        <v>11000</v>
      </c>
    </row>
    <row r="418" spans="1:6" ht="86.25" customHeight="1" x14ac:dyDescent="0.2">
      <c r="A418" s="4" t="str">
        <f ca="1">IFERROR(__xludf.DUMMYFUNCTION("""COMPUTED_VALUE"""),"«ДАЛИОН: Управление магазином 2.0»")</f>
        <v>«ДАЛИОН: Управление магазином 2.0»</v>
      </c>
      <c r="B418" s="4" t="str">
        <f ca="1">IFERROR(__xludf.DUMMYFUNCTION("""COMPUTED_VALUE"""),"с ЕГАИС, РАСШИРЕННЫЙ")</f>
        <v>с ЕГАИС, РАСШИРЕННЫЙ</v>
      </c>
      <c r="C418" s="4" t="str">
        <f ca="1">IFERROR(__xludf.DUMMYFUNCTION("""COMPUTED_VALUE"""),"RTL15BE-DALIONUM20")</f>
        <v>RTL15BE-DALIONUM20</v>
      </c>
      <c r="D418" s="4" t="str">
        <f ca="1">IFERROR(__xludf.DUMMYFUNCTION("""COMPUTED_VALUE"""),"Mobile SMARTS: Магазин 15 с ЕГАИС, РАСШИРЕННЫЙ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операции"&amp;":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8" s="4" t="str">
        <f ca="1">IFERROR(__xludf.DUMMYFUNCTION("""COMPUTED_VALUE"""),"Mobile SMARTS: Магазин 15 с ЕГАИС, РАСШИРЕННЫЙ для «ДАЛИОН: Управление магазином 2.0», для работы с маркированным товаром: алкоголь ЕГАИС и товары по штрихкодам ")</f>
        <v xml:space="preserve">Mobile SMARTS: Магазин 15 с ЕГАИС, РАСШИРЕННЫЙ для «ДАЛИОН: Управление магазином 2.0», для работы с маркированным товаром: алкоголь ЕГАИС и товары по штрихкодам </v>
      </c>
      <c r="F418" s="5">
        <f ca="1">IFERROR(__xludf.DUMMYFUNCTION("""COMPUTED_VALUE"""),17450)</f>
        <v>17450</v>
      </c>
    </row>
    <row r="419" spans="1:6" ht="86.25" customHeight="1" x14ac:dyDescent="0.2">
      <c r="A419" s="4" t="str">
        <f ca="1">IFERROR(__xludf.DUMMYFUNCTION("""COMPUTED_VALUE"""),"«ДАЛИОН: Управление магазином 2.0»")</f>
        <v>«ДАЛИОН: Управление магазином 2.0»</v>
      </c>
      <c r="B419" s="4" t="str">
        <f ca="1">IFERROR(__xludf.DUMMYFUNCTION("""COMPUTED_VALUE"""),"с ЕГАИС (без CheckMark2), МЕГАМАРКЕТ")</f>
        <v>с ЕГАИС (без CheckMark2), МЕГАМАРКЕТ</v>
      </c>
      <c r="C419" s="4" t="str">
        <f ca="1">IFERROR(__xludf.DUMMYFUNCTION("""COMPUTED_VALUE"""),"RTL15CEV-DALIONUM20")</f>
        <v>RTL15CEV-DALIONUM20</v>
      </c>
      <c r="D419" s="4" t="str">
        <f ca="1">IFERROR(__xludf.DUMMYFUNCTION("""COMPUTED_VALUE"""),"Mobile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до"&amp;"ступные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раб"&amp;"ота,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обм"&amp;"ен через Интернет на 1 (один) год")</f>
        <v>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9" s="4" t="str">
        <f ca="1">IFERROR(__xludf.DUMMYFUNCTION("""COMPUTED_VALUE"""),"Mobile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")</f>
        <v xml:space="preserve">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</v>
      </c>
      <c r="F419" s="5">
        <f ca="1">IFERROR(__xludf.DUMMYFUNCTION("""COMPUTED_VALUE"""),23850)</f>
        <v>23850</v>
      </c>
    </row>
    <row r="420" spans="1:6" ht="86.25" customHeight="1" x14ac:dyDescent="0.2">
      <c r="A420" s="4" t="str">
        <f ca="1">IFERROR(__xludf.DUMMYFUNCTION("""COMPUTED_VALUE"""),"«ДАЛИОН: Управление магазином 2.0»")</f>
        <v>«ДАЛИОН: Управление магазином 2.0»</v>
      </c>
      <c r="B420" s="4" t="str">
        <f ca="1">IFERROR(__xludf.DUMMYFUNCTION("""COMPUTED_VALUE"""),"с МОТП, БАЗОВЫЙ")</f>
        <v>с МОТП, БАЗОВЫЙ</v>
      </c>
      <c r="C420" s="4" t="str">
        <f ca="1">IFERROR(__xludf.DUMMYFUNCTION("""COMPUTED_VALUE"""),"RTL15AT-DALIONUM20")</f>
        <v>RTL15AT-DALIONUM20</v>
      </c>
      <c r="D420" s="4" t="str">
        <f ca="1">IFERROR(__xludf.DUMMYFUNCTION("""COMPUTED_VALUE"""),"Mobile SMARTS: Магазин 15 с МОТП, БАЗОВЫЙ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"&amp;"(в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"&amp;"о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0" s="4" t="str">
        <f ca="1">IFERROR(__xludf.DUMMYFUNCTION("""COMPUTED_VALUE"""),"Mobile SMARTS: Магазин 15 с МОТП, БАЗОВЫЙ для «ДАЛИОН: Управление магазином 2.0»")</f>
        <v>Mobile SMARTS: Магазин 15 с МОТП, БАЗОВЫЙ для «ДАЛИОН: Управление магазином 2.0»</v>
      </c>
      <c r="F420" s="5">
        <f ca="1">IFERROR(__xludf.DUMMYFUNCTION("""COMPUTED_VALUE"""),11150)</f>
        <v>11150</v>
      </c>
    </row>
    <row r="421" spans="1:6" ht="86.25" customHeight="1" x14ac:dyDescent="0.2">
      <c r="A421" s="4" t="str">
        <f ca="1">IFERROR(__xludf.DUMMYFUNCTION("""COMPUTED_VALUE"""),"«ДАЛИОН: Управление магазином 2.0»")</f>
        <v>«ДАЛИОН: Управление магазином 2.0»</v>
      </c>
      <c r="B421" s="4" t="str">
        <f ca="1">IFERROR(__xludf.DUMMYFUNCTION("""COMPUTED_VALUE"""),"с МОТП, РАСШИРЕННЫЙ")</f>
        <v>с МОТП, РАСШИРЕННЫЙ</v>
      </c>
      <c r="C421" s="4" t="str">
        <f ca="1">IFERROR(__xludf.DUMMYFUNCTION("""COMPUTED_VALUE"""),"RTL15BT-DALIONUM20")</f>
        <v>RTL15BT-DALIONUM20</v>
      </c>
      <c r="D421" s="4" t="str">
        <f ca="1">IFERROR(__xludf.DUMMYFUNCTION("""COMPUTED_VALUE"""),"Mobile SMARTS: Магазин 15 с МОТП, РАСШИРЕННЫЙ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поступле"&amp;"ние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информа"&amp;"ция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1" s="4" t="str">
        <f ca="1">IFERROR(__xludf.DUMMYFUNCTION("""COMPUTED_VALUE"""),"Mobile SMARTS: Магазин 15 с МОТП, РАСШИРЕННЫЙ для «ДАЛИОН: Управление магазином 2.0»")</f>
        <v>Mobile SMARTS: Магазин 15 с МОТП, РАСШИРЕННЫЙ для «ДАЛИОН: Управление магазином 2.0»</v>
      </c>
      <c r="F421" s="5">
        <f ca="1">IFERROR(__xludf.DUMMYFUNCTION("""COMPUTED_VALUE"""),17450)</f>
        <v>17450</v>
      </c>
    </row>
    <row r="422" spans="1:6" ht="86.25" customHeight="1" x14ac:dyDescent="0.2">
      <c r="A422" s="4" t="str">
        <f ca="1">IFERROR(__xludf.DUMMYFUNCTION("""COMPUTED_VALUE"""),"«ДАЛИОН: Управление магазином 2.0»")</f>
        <v>«ДАЛИОН: Управление магазином 2.0»</v>
      </c>
      <c r="B422" s="4" t="str">
        <f ca="1">IFERROR(__xludf.DUMMYFUNCTION("""COMPUTED_VALUE"""),"с МОТП, МЕГАМАРКЕТ")</f>
        <v>с МОТП, МЕГАМАРКЕТ</v>
      </c>
      <c r="C422" s="4" t="str">
        <f ca="1">IFERROR(__xludf.DUMMYFUNCTION("""COMPUTED_VALUE"""),"RTL15CT-DALIONUM20")</f>
        <v>RTL15CT-DALIONUM20</v>
      </c>
      <c r="D422" s="4" t="str">
        <f ca="1">IFERROR(__xludf.DUMMYFUNCTION("""COMPUTED_VALUE"""),"Mobile SMARTS: Магазин 15 с МОТП, МЕГАМАРКЕТ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поступлен"&amp;"ие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коллекти"&amp;"вная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на"&amp;" 1 (один) год")</f>
        <v>Mobile SMARTS: Магазин 15 с МОТП, МЕГАМАРКЕТ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2" s="4" t="str">
        <f ca="1">IFERROR(__xludf.DUMMYFUNCTION("""COMPUTED_VALUE"""),"Mobile SMARTS: Магазин 15 с МОТП, МЕГАМАРКЕТ для «ДАЛИОН: Управление магазином 2.0»")</f>
        <v>Mobile SMARTS: Магазин 15 с МОТП, МЕГАМАРКЕТ для «ДАЛИОН: Управление магазином 2.0»</v>
      </c>
      <c r="F422" s="5">
        <f ca="1">IFERROR(__xludf.DUMMYFUNCTION("""COMPUTED_VALUE"""),23850)</f>
        <v>23850</v>
      </c>
    </row>
    <row r="423" spans="1:6" ht="86.25" customHeight="1" x14ac:dyDescent="0.2">
      <c r="A423" s="4" t="str">
        <f ca="1">IFERROR(__xludf.DUMMYFUNCTION("""COMPUTED_VALUE"""),"«ДАЛИОН: Управление магазином 2.0»")</f>
        <v>«ДАЛИОН: Управление магазином 2.0»</v>
      </c>
      <c r="B423" s="4" t="str">
        <f ca="1">IFERROR(__xludf.DUMMYFUNCTION("""COMPUTED_VALUE"""),"с ЕГАИС и МОТП, БАЗОВЫЙ")</f>
        <v>с ЕГАИС и МОТП, БАЗОВЫЙ</v>
      </c>
      <c r="C423" s="4" t="str">
        <f ca="1">IFERROR(__xludf.DUMMYFUNCTION("""COMPUTED_VALUE"""),"RTL15AET-DALIONUM20")</f>
        <v>RTL15AET-DALIONUM20</v>
      </c>
      <c r="D423" s="4" t="str">
        <f ca="1">IFERROR(__xludf.DUMMYFUNCTION("""COMPUTED_VALUE"""),"Mobile SMARTS: Магазин 15 с ЕГАИС и МОТП, БАЗОВЫЙ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опер"&amp;"ации: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"&amp;"возможность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3" s="4" t="str">
        <f ca="1">IFERROR(__xludf.DUMMYFUNCTION("""COMPUTED_VALUE"""),"Mobile SMARTS: Магазин 15 с ЕГАИС и МОТП, БАЗОВЫЙ для «ДАЛИОН: Управление магазином 2.0»")</f>
        <v>Mobile SMARTS: Магазин 15 с ЕГАИС и МОТП, БАЗОВЫЙ для «ДАЛИОН: Управление магазином 2.0»</v>
      </c>
      <c r="F423" s="5">
        <f ca="1">IFERROR(__xludf.DUMMYFUNCTION("""COMPUTED_VALUE"""),12150)</f>
        <v>12150</v>
      </c>
    </row>
    <row r="424" spans="1:6" ht="86.25" customHeight="1" x14ac:dyDescent="0.2">
      <c r="A424" s="4" t="str">
        <f ca="1">IFERROR(__xludf.DUMMYFUNCTION("""COMPUTED_VALUE"""),"«ДАЛИОН: Управление магазином 2.0»")</f>
        <v>«ДАЛИОН: Управление магазином 2.0»</v>
      </c>
      <c r="B424" s="4" t="str">
        <f ca="1">IFERROR(__xludf.DUMMYFUNCTION("""COMPUTED_VALUE"""),"с ЕГАИС и МОТП, РАСШИРЕННЫЙ")</f>
        <v>с ЕГАИС и МОТП, РАСШИРЕННЫЙ</v>
      </c>
      <c r="C424" s="4" t="str">
        <f ca="1">IFERROR(__xludf.DUMMYFUNCTION("""COMPUTED_VALUE"""),"RTL15BET-DALIONUM20")</f>
        <v>RTL15BET-DALIONUM20</v>
      </c>
      <c r="D424" s="4" t="str">
        <f ca="1">IFERROR(__xludf.DUMMYFUNCTION("""COMPUTED_VALUE"""),"Mobile SMARTS: Магазин 15 с ЕГАИС и МОТП, РАСШИРЕННЫЙ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операци"&amp;"й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4" s="4" t="str">
        <f ca="1">IFERROR(__xludf.DUMMYFUNCTION("""COMPUTED_VALUE"""),"Mobile SMARTS: Магазин 15 с ЕГАИС и МОТП, РАСШИРЕННЫЙ для «ДАЛИОН: Управление магазином 2.0»")</f>
        <v>Mobile SMARTS: Магазин 15 с ЕГАИС и МОТП, РАСШИРЕННЫЙ для «ДАЛИОН: Управление магазином 2.0»</v>
      </c>
      <c r="F424" s="5">
        <f ca="1">IFERROR(__xludf.DUMMYFUNCTION("""COMPUTED_VALUE"""),18550)</f>
        <v>18550</v>
      </c>
    </row>
    <row r="425" spans="1:6" ht="86.25" customHeight="1" x14ac:dyDescent="0.2">
      <c r="A425" s="4" t="str">
        <f ca="1">IFERROR(__xludf.DUMMYFUNCTION("""COMPUTED_VALUE"""),"«ДАЛИОН: Управление магазином 2.0»")</f>
        <v>«ДАЛИОН: Управление магазином 2.0»</v>
      </c>
      <c r="B425" s="4" t="str">
        <f ca="1">IFERROR(__xludf.DUMMYFUNCTION("""COMPUTED_VALUE"""),"с ЕГАИС и МОТП, МЕГАМАРКЕТ")</f>
        <v>с ЕГАИС и МОТП, МЕГАМАРКЕТ</v>
      </c>
      <c r="C425" s="4" t="str">
        <f ca="1">IFERROR(__xludf.DUMMYFUNCTION("""COMPUTED_VALUE"""),"RTL15CET-DALIONUM20")</f>
        <v>RTL15CET-DALIONUM20</v>
      </c>
      <c r="D425" s="4" t="str">
        <f ca="1">IFERROR(__xludf.DUMMYFUNCTION("""COMPUTED_VALUE"""),"Mobile SMARTS: Магазин 15 с ЕГАИС и МОТП, МЕГАМАРКЕТ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о"&amp;"перации: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5" s="4" t="str">
        <f ca="1">IFERROR(__xludf.DUMMYFUNCTION("""COMPUTED_VALUE"""),"Mobile SMARTS: Магазин 15 с ЕГАИС и МОТП, МЕГАМАРКЕТ для «ДАЛИОН: Управление магазином 2.0»")</f>
        <v>Mobile SMARTS: Магазин 15 с ЕГАИС и МОТП, МЕГАМАРКЕТ для «ДАЛИОН: Управление магазином 2.0»</v>
      </c>
      <c r="F425" s="5">
        <f ca="1">IFERROR(__xludf.DUMMYFUNCTION("""COMPUTED_VALUE"""),26350)</f>
        <v>26350</v>
      </c>
    </row>
    <row r="426" spans="1:6" ht="86.25" customHeight="1" x14ac:dyDescent="0.2">
      <c r="A426" s="4" t="str">
        <f ca="1">IFERROR(__xludf.DUMMYFUNCTION("""COMPUTED_VALUE"""),"«ДАЛИОН: Управление магазином 2.0»")</f>
        <v>«ДАЛИОН: Управление магазином 2.0»</v>
      </c>
      <c r="B426" s="4" t="str">
        <f ca="1">IFERROR(__xludf.DUMMYFUNCTION("""COMPUTED_VALUE"""),"ШМОТКИ, БАЗОВЫЙ")</f>
        <v>ШМОТКИ, БАЗОВЫЙ</v>
      </c>
      <c r="C426" s="4" t="str">
        <f ca="1">IFERROR(__xludf.DUMMYFUNCTION("""COMPUTED_VALUE"""),"RTL15AK-DALIONUM20")</f>
        <v>RTL15AK-DALIONUM20</v>
      </c>
      <c r="D426" s="4" t="str">
        <f ca="1">IFERROR(__xludf.DUMMYFUNCTION("""COMPUTED_VALUE"""),"Mobile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6" s="4" t="str">
        <f ca="1">IFERROR(__xludf.DUMMYFUNCTION("""COMPUTED_VALUE"""),"Mobile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")</f>
        <v xml:space="preserve">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</v>
      </c>
      <c r="F426" s="5">
        <f ca="1">IFERROR(__xludf.DUMMYFUNCTION("""COMPUTED_VALUE"""),12150)</f>
        <v>12150</v>
      </c>
    </row>
    <row r="427" spans="1:6" ht="86.25" customHeight="1" x14ac:dyDescent="0.2">
      <c r="A427" s="4" t="str">
        <f ca="1">IFERROR(__xludf.DUMMYFUNCTION("""COMPUTED_VALUE"""),"«ДАЛИОН: Управление магазином 2.0»")</f>
        <v>«ДАЛИОН: Управление магазином 2.0»</v>
      </c>
      <c r="B427" s="4" t="str">
        <f ca="1">IFERROR(__xludf.DUMMYFUNCTION("""COMPUTED_VALUE"""),"ШМОТКИ, РАСШИРЕННЫЙ")</f>
        <v>ШМОТКИ, РАСШИРЕННЫЙ</v>
      </c>
      <c r="C427" s="4" t="str">
        <f ca="1">IFERROR(__xludf.DUMMYFUNCTION("""COMPUTED_VALUE"""),"RTL15BK-DALIONUM20")</f>
        <v>RTL15BK-DALIONUM20</v>
      </c>
      <c r="D427" s="4" t="str">
        <f ca="1">IFERROR(__xludf.DUMMYFUNCTION("""COMPUTED_VALUE"""),"Mobile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доступ"&amp;"ные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"&amp;"/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7" s="4" t="str">
        <f ca="1">IFERROR(__xludf.DUMMYFUNCTION("""COMPUTED_VALUE"""),"Mobile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")</f>
        <v xml:space="preserve">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</v>
      </c>
      <c r="F427" s="5">
        <f ca="1">IFERROR(__xludf.DUMMYFUNCTION("""COMPUTED_VALUE"""),18550)</f>
        <v>18550</v>
      </c>
    </row>
    <row r="428" spans="1:6" ht="86.25" customHeight="1" x14ac:dyDescent="0.2">
      <c r="A428" s="4" t="str">
        <f ca="1">IFERROR(__xludf.DUMMYFUNCTION("""COMPUTED_VALUE"""),"«ДАЛИОН: Управление магазином 2.0»")</f>
        <v>«ДАЛИОН: Управление магазином 2.0»</v>
      </c>
      <c r="B428" s="4" t="str">
        <f ca="1">IFERROR(__xludf.DUMMYFUNCTION("""COMPUTED_VALUE"""),"ШМОТКИ, МЕГАМАРКЕТ")</f>
        <v>ШМОТКИ, МЕГАМАРКЕТ</v>
      </c>
      <c r="C428" s="4" t="str">
        <f ca="1">IFERROR(__xludf.DUMMYFUNCTION("""COMPUTED_VALUE"""),"RTL15CK-DALIONUM20")</f>
        <v>RTL15CK-DALIONUM20</v>
      </c>
      <c r="D428" s="4" t="str">
        <f ca="1">IFERROR(__xludf.DUMMYFUNCTION("""COMPUTED_VALUE"""),"Mobile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доступн"&amp;"ые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/"&amp;"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о"&amp;"бмен через Интернет на 1 (один) год")</f>
        <v>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8" s="4" t="str">
        <f ca="1">IFERROR(__xludf.DUMMYFUNCTION("""COMPUTED_VALUE"""),"Mobile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")</f>
        <v xml:space="preserve">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</v>
      </c>
      <c r="F428" s="5">
        <f ca="1">IFERROR(__xludf.DUMMYFUNCTION("""COMPUTED_VALUE"""),26350)</f>
        <v>26350</v>
      </c>
    </row>
    <row r="429" spans="1:6" ht="86.25" customHeight="1" x14ac:dyDescent="0.2">
      <c r="A429" s="4" t="str">
        <f ca="1">IFERROR(__xludf.DUMMYFUNCTION("""COMPUTED_VALUE"""),"«ДАЛИОН: Управление магазином 2.0»")</f>
        <v>«ДАЛИОН: Управление магазином 2.0»</v>
      </c>
      <c r="B429" s="4" t="str">
        <f ca="1">IFERROR(__xludf.DUMMYFUNCTION("""COMPUTED_VALUE"""),"ПРОДУКТОВЫЙ, БАЗОВЫЙ")</f>
        <v>ПРОДУКТОВЫЙ, БАЗОВЫЙ</v>
      </c>
      <c r="C429" s="4" t="str">
        <f ca="1">IFERROR(__xludf.DUMMYFUNCTION("""COMPUTED_VALUE"""),"RTL15AG-DALIONUM20")</f>
        <v>RTL15AG-DALIONUM20</v>
      </c>
      <c r="D429" s="4" t="str">
        <f ca="1">IFERROR(__xludf.DUMMYFUNCTION("""COMPUTED_VALUE"""),"Mobile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"&amp;"через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9" s="4" t="str">
        <f ca="1">IFERROR(__xludf.DUMMYFUNCTION("""COMPUTED_VALUE"""),"Mobile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</v>
      </c>
      <c r="F429" s="5">
        <f ca="1">IFERROR(__xludf.DUMMYFUNCTION("""COMPUTED_VALUE"""),14550)</f>
        <v>14550</v>
      </c>
    </row>
    <row r="430" spans="1:6" ht="86.25" customHeight="1" x14ac:dyDescent="0.2">
      <c r="A430" s="4" t="str">
        <f ca="1">IFERROR(__xludf.DUMMYFUNCTION("""COMPUTED_VALUE"""),"«ДАЛИОН: Управление магазином 2.0»")</f>
        <v>«ДАЛИОН: Управление магазином 2.0»</v>
      </c>
      <c r="B430" s="4" t="str">
        <f ca="1">IFERROR(__xludf.DUMMYFUNCTION("""COMPUTED_VALUE"""),"ПРОДУКТОВЫЙ, РАСШИРЕННЫЙ")</f>
        <v>ПРОДУКТОВЫЙ, РАСШИРЕННЫЙ</v>
      </c>
      <c r="C430" s="4" t="str">
        <f ca="1">IFERROR(__xludf.DUMMYFUNCTION("""COMPUTED_VALUE"""),"RTL15BG-DALIONUM20")</f>
        <v>RTL15BG-DALIONUM20</v>
      </c>
      <c r="D430" s="4" t="str">
        <f ca="1">IFERROR(__xludf.DUMMYFUNCTION("""COMPUTED_VALUE"""),"Mobile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об"&amp;"мен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0" s="4" t="str">
        <f ca="1">IFERROR(__xludf.DUMMYFUNCTION("""COMPUTED_VALUE"""),"Mobile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</v>
      </c>
      <c r="F430" s="5">
        <f ca="1">IFERROR(__xludf.DUMMYFUNCTION("""COMPUTED_VALUE"""),20950)</f>
        <v>20950</v>
      </c>
    </row>
    <row r="431" spans="1:6" ht="86.25" customHeight="1" x14ac:dyDescent="0.2">
      <c r="A431" s="4" t="str">
        <f ca="1">IFERROR(__xludf.DUMMYFUNCTION("""COMPUTED_VALUE"""),"«ДАЛИОН: Управление магазином 2.0»")</f>
        <v>«ДАЛИОН: Управление магазином 2.0»</v>
      </c>
      <c r="B431" s="4" t="str">
        <f ca="1">IFERROR(__xludf.DUMMYFUNCTION("""COMPUTED_VALUE"""),"ПРОДУКТОВЫЙ, МЕГАМАРКЕТ")</f>
        <v>ПРОДУКТОВЫЙ, МЕГАМАРКЕТ</v>
      </c>
      <c r="C431" s="4" t="str">
        <f ca="1">IFERROR(__xludf.DUMMYFUNCTION("""COMPUTED_VALUE"""),"RTL15CG-DALIONUM20")</f>
        <v>RTL15CG-DALIONUM20</v>
      </c>
      <c r="D431" s="4" t="str">
        <f ca="1">IFERROR(__xludf.DUMMYFUNCTION("""COMPUTED_VALUE"""),"Mobile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зака"&amp;"за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1" s="4" t="str">
        <f ca="1">IFERROR(__xludf.DUMMYFUNCTION("""COMPUTED_VALUE"""),"Mobile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</v>
      </c>
      <c r="F431" s="5">
        <f ca="1">IFERROR(__xludf.DUMMYFUNCTION("""COMPUTED_VALUE"""),28250)</f>
        <v>28250</v>
      </c>
    </row>
    <row r="432" spans="1:6" ht="86.25" customHeight="1" x14ac:dyDescent="0.2">
      <c r="A432" s="4" t="str">
        <f ca="1">IFERROR(__xludf.DUMMYFUNCTION("""COMPUTED_VALUE"""),"«Трактиръ: Head-Office 1.0»")</f>
        <v>«Трактиръ: Head-Office 1.0»</v>
      </c>
      <c r="B432" s="4" t="str">
        <f ca="1">IFERROR(__xludf.DUMMYFUNCTION("""COMPUTED_VALUE"""),"МИНИМУМ")</f>
        <v>МИНИМУМ</v>
      </c>
      <c r="C432" s="4" t="str">
        <f ca="1">IFERROR(__xludf.DUMMYFUNCTION("""COMPUTED_VALUE"""),"RTL15M-HEADOFFICE10")</f>
        <v>RTL15M-HEADOFFICE10</v>
      </c>
      <c r="D432" s="4" t="str">
        <f ca="1">IFERROR(__xludf.DUMMYFUNCTION("""COMPUTED_VALUE"""),"Mobile SMARTS: Магазин 15, МИНИМУМ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настр"&amp;"ойка,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32" s="4" t="str">
        <f ca="1">IFERROR(__xludf.DUMMYFUNCTION("""COMPUTED_VALUE"""),"Mobile SMARTS: Магазин 15, МИНИМУМ для «Трактиръ: Head-Office 1.0», для работы с товаром по штрихкодам ")</f>
        <v xml:space="preserve">Mobile SMARTS: Магазин 15, МИНИМУМ для «Трактиръ: Head-Office 1.0», для работы с товаром по штрихкодам </v>
      </c>
      <c r="F432" s="5">
        <f ca="1">IFERROR(__xludf.DUMMYFUNCTION("""COMPUTED_VALUE"""),3450)</f>
        <v>3450</v>
      </c>
    </row>
    <row r="433" spans="1:6" ht="86.25" customHeight="1" x14ac:dyDescent="0.2">
      <c r="A433" s="4" t="str">
        <f ca="1">IFERROR(__xludf.DUMMYFUNCTION("""COMPUTED_VALUE"""),"«Трактиръ: Head-Office 1.0»")</f>
        <v>«Трактиръ: Head-Office 1.0»</v>
      </c>
      <c r="B433" s="4" t="str">
        <f ca="1">IFERROR(__xludf.DUMMYFUNCTION("""COMPUTED_VALUE"""),"БАЗОВЫЙ")</f>
        <v>БАЗОВЫЙ</v>
      </c>
      <c r="C433" s="4" t="str">
        <f ca="1">IFERROR(__xludf.DUMMYFUNCTION("""COMPUTED_VALUE"""),"RTL15A-HEADOFFICE10")</f>
        <v>RTL15A-HEADOFFICE10</v>
      </c>
      <c r="D433" s="4" t="str">
        <f ca="1">IFERROR(__xludf.DUMMYFUNCTION("""COMPUTED_VALUE"""),"Mobile SMARTS: Магазин 15, БАЗОВЫЙ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печать"&amp;"ю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опе"&amp;"раций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3" s="4" t="str">
        <f ca="1">IFERROR(__xludf.DUMMYFUNCTION("""COMPUTED_VALUE"""),"Mobile SMARTS: Магазин 15, БАЗОВЫЙ для «Трактиръ: Head-Office 1.0», для работы с товаром по штрихкодам ")</f>
        <v xml:space="preserve">Mobile SMARTS: Магазин 15, БАЗОВЫЙ для «Трактиръ: Head-Office 1.0», для работы с товаром по штрихкодам </v>
      </c>
      <c r="F433" s="5">
        <f ca="1">IFERROR(__xludf.DUMMYFUNCTION("""COMPUTED_VALUE"""),8650)</f>
        <v>8650</v>
      </c>
    </row>
    <row r="434" spans="1:6" ht="86.25" customHeight="1" x14ac:dyDescent="0.2">
      <c r="A434" s="4" t="str">
        <f ca="1">IFERROR(__xludf.DUMMYFUNCTION("""COMPUTED_VALUE"""),"«Трактиръ: Head-Office 1.0»")</f>
        <v>«Трактиръ: Head-Office 1.0»</v>
      </c>
      <c r="B434" s="4" t="str">
        <f ca="1">IFERROR(__xludf.DUMMYFUNCTION("""COMPUTED_VALUE"""),"РАСШИРЕННЫЙ")</f>
        <v>РАСШИРЕННЫЙ</v>
      </c>
      <c r="C434" s="4" t="str">
        <f ca="1">IFERROR(__xludf.DUMMYFUNCTION("""COMPUTED_VALUE"""),"RTL15B-HEADOFFICE10")</f>
        <v>RTL15B-HEADOFFICE10</v>
      </c>
      <c r="D434" s="4" t="str">
        <f ca="1">IFERROR(__xludf.DUMMYFUNCTION("""COMPUTED_VALUE"""),"Mobile SMARTS: Магазин 15, РАСШИРЕННЫЙ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4" s="4" t="str">
        <f ca="1">IFERROR(__xludf.DUMMYFUNCTION("""COMPUTED_VALUE"""),"Mobile SMARTS: Магазин 15, РАСШИРЕННЫЙ для «Трактиръ: Head-Office 1.0», для работы с товаром по штрихкодам ")</f>
        <v xml:space="preserve">Mobile SMARTS: Магазин 15, РАСШИРЕННЫЙ для «Трактиръ: Head-Office 1.0», для работы с товаром по штрихкодам </v>
      </c>
      <c r="F434" s="5">
        <f ca="1">IFERROR(__xludf.DUMMYFUNCTION("""COMPUTED_VALUE"""),15050)</f>
        <v>15050</v>
      </c>
    </row>
    <row r="435" spans="1:6" ht="86.25" customHeight="1" x14ac:dyDescent="0.2">
      <c r="A435" s="4" t="str">
        <f ca="1">IFERROR(__xludf.DUMMYFUNCTION("""COMPUTED_VALUE"""),"«Трактиръ: Head-Office 1.0»")</f>
        <v>«Трактиръ: Head-Office 1.0»</v>
      </c>
      <c r="B435" s="4" t="str">
        <f ca="1">IFERROR(__xludf.DUMMYFUNCTION("""COMPUTED_VALUE"""),"МЕГАМАРКЕТ")</f>
        <v>МЕГАМАРКЕТ</v>
      </c>
      <c r="C435" s="4" t="str">
        <f ca="1">IFERROR(__xludf.DUMMYFUNCTION("""COMPUTED_VALUE"""),"RTL15C-HEADOFFICE10")</f>
        <v>RTL15C-HEADOFFICE10</v>
      </c>
      <c r="D435" s="4" t="str">
        <f ca="1">IFERROR(__xludf.DUMMYFUNCTION("""COMPUTED_VALUE"""),"Mobile SMARTS: Магазин 15, МЕГАМАРКЕТ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печ"&amp;"атью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из"&amp;"менение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5" s="4" t="str">
        <f ca="1">IFERROR(__xludf.DUMMYFUNCTION("""COMPUTED_VALUE"""),"Mobile SMARTS: Магазин 15, МЕГАМАРКЕТ для «Трактиръ: Head-Office 1.0», для работы с товаром по штрихкодам ")</f>
        <v xml:space="preserve">Mobile SMARTS: Магазин 15, МЕГАМАРКЕТ для «Трактиръ: Head-Office 1.0», для работы с товаром по штрихкодам </v>
      </c>
      <c r="F435" s="5">
        <f ca="1">IFERROR(__xludf.DUMMYFUNCTION("""COMPUTED_VALUE"""),21550)</f>
        <v>21550</v>
      </c>
    </row>
    <row r="436" spans="1:6" ht="86.25" customHeight="1" x14ac:dyDescent="0.2">
      <c r="A436" s="4" t="str">
        <f ca="1">IFERROR(__xludf.DUMMYFUNCTION("""COMPUTED_VALUE"""),"«Трактиръ: Head-Office 1.0»")</f>
        <v>«Трактиръ: Head-Office 1.0»</v>
      </c>
      <c r="B436" s="4" t="str">
        <f ca="1">IFERROR(__xludf.DUMMYFUNCTION("""COMPUTED_VALUE"""),"с ЕГАИС, БАЗОВЫЙ")</f>
        <v>с ЕГАИС, БАЗОВЫЙ</v>
      </c>
      <c r="C436" s="4" t="str">
        <f ca="1">IFERROR(__xludf.DUMMYFUNCTION("""COMPUTED_VALUE"""),"RTL15AE-HEADOFFICE10")</f>
        <v>RTL15AE-HEADOFFICE10</v>
      </c>
      <c r="D436" s="4" t="str">
        <f ca="1">IFERROR(__xludf.DUMMYFUNCTION("""COMPUTED_VALUE"""),"Mobile SMARTS: Магазин 15 с ЕГАИС, БАЗОВЫЙ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алко"&amp;"голя,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т"&amp;"оваре,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36" s="4" t="str">
        <f ca="1">IFERROR(__xludf.DUMMYFUNCTION("""COMPUTED_VALUE"""),"Mobile SMARTS: Магазин 15 с ЕГАИС, БАЗОВЫЙ для «Трактиръ: Head-Office 1.0», для работы с маркированным товаром: алкоголь ЕГАИС и товары по штрихкодам ")</f>
        <v xml:space="preserve">Mobile SMARTS: Магазин 15 с ЕГАИС, БАЗОВЫЙ для «Трактиръ: Head-Office 1.0», для работы с маркированным товаром: алкоголь ЕГАИС и товары по штрихкодам </v>
      </c>
      <c r="F436" s="5">
        <f ca="1">IFERROR(__xludf.DUMMYFUNCTION("""COMPUTED_VALUE"""),11000)</f>
        <v>11000</v>
      </c>
    </row>
    <row r="437" spans="1:6" ht="86.25" customHeight="1" x14ac:dyDescent="0.2">
      <c r="A437" s="4" t="str">
        <f ca="1">IFERROR(__xludf.DUMMYFUNCTION("""COMPUTED_VALUE"""),"«Трактиръ: Head-Office 1.0»")</f>
        <v>«Трактиръ: Head-Office 1.0»</v>
      </c>
      <c r="B437" s="4" t="str">
        <f ca="1">IFERROR(__xludf.DUMMYFUNCTION("""COMPUTED_VALUE"""),"с ЕГАИС, РАСШИРЕННЫЙ")</f>
        <v>с ЕГАИС, РАСШИРЕННЫЙ</v>
      </c>
      <c r="C437" s="4" t="str">
        <f ca="1">IFERROR(__xludf.DUMMYFUNCTION("""COMPUTED_VALUE"""),"RTL15BE-HEADOFFICE10")</f>
        <v>RTL15BE-HEADOFFICE10</v>
      </c>
      <c r="D437" s="4" t="str">
        <f ca="1">IFERROR(__xludf.DUMMYFUNCTION("""COMPUTED_VALUE"""),"Mobile SMARTS: Магазин 15 с ЕГАИС, РАСШИРЕННЫЙ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"&amp;"алкоголя,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7" s="4" t="str">
        <f ca="1">IFERROR(__xludf.DUMMYFUNCTION("""COMPUTED_VALUE"""),"Mobile SMARTS: Магазин 15 с ЕГАИС, РАСШИРЕННЫЙ для «Трактиръ: Head-Office 1.0», для работы с маркированным товаром: алкоголь ЕГАИС и товары по штрихкодам ")</f>
        <v xml:space="preserve">Mobile SMARTS: Магазин 15 с ЕГАИС, РАСШИРЕННЫЙ для «Трактиръ: Head-Office 1.0», для работы с маркированным товаром: алкоголь ЕГАИС и товары по штрихкодам </v>
      </c>
      <c r="F437" s="5">
        <f ca="1">IFERROR(__xludf.DUMMYFUNCTION("""COMPUTED_VALUE"""),17450)</f>
        <v>17450</v>
      </c>
    </row>
    <row r="438" spans="1:6" ht="86.25" customHeight="1" x14ac:dyDescent="0.2">
      <c r="A438" s="4" t="str">
        <f ca="1">IFERROR(__xludf.DUMMYFUNCTION("""COMPUTED_VALUE"""),"«Трактиръ: Head-Office 1.0»")</f>
        <v>«Трактиръ: Head-Office 1.0»</v>
      </c>
      <c r="B438" s="4" t="str">
        <f ca="1">IFERROR(__xludf.DUMMYFUNCTION("""COMPUTED_VALUE"""),"с ЕГАИС (без CheckMark2), МЕГАМАРКЕТ")</f>
        <v>с ЕГАИС (без CheckMark2), МЕГАМАРКЕТ</v>
      </c>
      <c r="C438" s="4" t="str">
        <f ca="1">IFERROR(__xludf.DUMMYFUNCTION("""COMPUTED_VALUE"""),"RTL15CEV-HEADOFFICE10")</f>
        <v>RTL15CEV-HEADOFFICE10</v>
      </c>
      <c r="D438" s="4" t="str">
        <f ca="1">IFERROR(__xludf.DUMMYFUNCTION("""COMPUTED_VALUE"""),"Mobile SMARTS: Магазин 15 с ЕГАИС (без CheckMark2), МЕГАМАРКЕТ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доступные"&amp;"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пе"&amp;"чать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Mobile SMARTS: Магазин 15 с ЕГАИС (без CheckMark2), МЕГАМАРКЕТ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8" s="4" t="str">
        <f ca="1">IFERROR(__xludf.DUMMYFUNCTION("""COMPUTED_VALUE"""),"Mobile SMARTS: Магазин 15 с ЕГАИС (без CheckMark2), МЕГАМАРКЕТ для «Трактиръ: Head-Office 1.0», для работы с маркированным товаром: алкоголь ЕГАИС и товары по штрихкодам ")</f>
        <v xml:space="preserve">Mobile SMARTS: Магазин 15 с ЕГАИС (без CheckMark2), МЕГАМАРКЕТ для «Трактиръ: Head-Office 1.0», для работы с маркированным товаром: алкоголь ЕГАИС и товары по штрихкодам </v>
      </c>
      <c r="F438" s="5">
        <f ca="1">IFERROR(__xludf.DUMMYFUNCTION("""COMPUTED_VALUE"""),23850)</f>
        <v>23850</v>
      </c>
    </row>
    <row r="439" spans="1:6" ht="86.25" customHeight="1" x14ac:dyDescent="0.2">
      <c r="A439" s="4" t="str">
        <f ca="1">IFERROR(__xludf.DUMMYFUNCTION("""COMPUTED_VALUE"""),"«ДАЛИОН: ТРЕНД 1.0»")</f>
        <v>«ДАЛИОН: ТРЕНД 1.0»</v>
      </c>
      <c r="B439" s="4" t="str">
        <f ca="1">IFERROR(__xludf.DUMMYFUNCTION("""COMPUTED_VALUE"""),"МИНИМУМ")</f>
        <v>МИНИМУМ</v>
      </c>
      <c r="C439" s="4" t="str">
        <f ca="1">IFERROR(__xludf.DUMMYFUNCTION("""COMPUTED_VALUE"""),"RTL15M-DALIONTREND")</f>
        <v>RTL15M-DALIONTREND</v>
      </c>
      <c r="D439" s="4" t="str">
        <f ca="1">IFERROR(__xludf.DUMMYFUNCTION("""COMPUTED_VALUE"""),"Mobile SMARTS: Магазин 15, МИНИМУМ для «ДАЛИОН: ТРЕНД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пр"&amp;"оверка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«ДАЛИОН: ТРЕНД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39" s="4" t="str">
        <f ca="1">IFERROR(__xludf.DUMMYFUNCTION("""COMPUTED_VALUE"""),"Mobile SMARTS: Магазин 15, МИНИМУМ для «ДАЛИОН: ТРЕНД 1.0», для работы с товаром по штрихкодам ")</f>
        <v xml:space="preserve">Mobile SMARTS: Магазин 15, МИНИМУМ для «ДАЛИОН: ТРЕНД 1.0», для работы с товаром по штрихкодам </v>
      </c>
      <c r="F439" s="5">
        <f ca="1">IFERROR(__xludf.DUMMYFUNCTION("""COMPUTED_VALUE"""),3450)</f>
        <v>3450</v>
      </c>
    </row>
    <row r="440" spans="1:6" ht="86.25" customHeight="1" x14ac:dyDescent="0.2">
      <c r="A440" s="4" t="str">
        <f ca="1">IFERROR(__xludf.DUMMYFUNCTION("""COMPUTED_VALUE"""),"«ДАЛИОН: ТРЕНД 1.0»")</f>
        <v>«ДАЛИОН: ТРЕНД 1.0»</v>
      </c>
      <c r="B440" s="4" t="str">
        <f ca="1">IFERROR(__xludf.DUMMYFUNCTION("""COMPUTED_VALUE"""),"БАЗОВЫЙ")</f>
        <v>БАЗОВЫЙ</v>
      </c>
      <c r="C440" s="4" t="str">
        <f ca="1">IFERROR(__xludf.DUMMYFUNCTION("""COMPUTED_VALUE"""),"RTL15A-DALIONTREND")</f>
        <v>RTL15A-DALIONTREND</v>
      </c>
      <c r="D440" s="4" t="str">
        <f ca="1">IFERROR(__xludf.DUMMYFUNCTION("""COMPUTED_VALUE"""),"Mobile SMARTS: Магазин 15, БАЗОВЫЙ для «ДАЛИОН: ТРЕНД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моб"&amp;"ильный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"&amp;"возможность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«ДАЛИОН: ТРЕНД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0" s="4" t="str">
        <f ca="1">IFERROR(__xludf.DUMMYFUNCTION("""COMPUTED_VALUE"""),"Mobile SMARTS: Магазин 15, БАЗОВЫЙ для «ДАЛИОН: ТРЕНД 1.0», для работы с товаром по штрихкодам ")</f>
        <v xml:space="preserve">Mobile SMARTS: Магазин 15, БАЗОВЫЙ для «ДАЛИОН: ТРЕНД 1.0», для работы с товаром по штрихкодам </v>
      </c>
      <c r="F440" s="5">
        <f ca="1">IFERROR(__xludf.DUMMYFUNCTION("""COMPUTED_VALUE"""),8650)</f>
        <v>8650</v>
      </c>
    </row>
    <row r="441" spans="1:6" ht="86.25" customHeight="1" x14ac:dyDescent="0.2">
      <c r="A441" s="4" t="str">
        <f ca="1">IFERROR(__xludf.DUMMYFUNCTION("""COMPUTED_VALUE"""),"«ДАЛИОН: ТРЕНД 1.0»")</f>
        <v>«ДАЛИОН: ТРЕНД 1.0»</v>
      </c>
      <c r="B441" s="4" t="str">
        <f ca="1">IFERROR(__xludf.DUMMYFUNCTION("""COMPUTED_VALUE"""),"РАСШИРЕННЫЙ")</f>
        <v>РАСШИРЕННЫЙ</v>
      </c>
      <c r="C441" s="4" t="str">
        <f ca="1">IFERROR(__xludf.DUMMYFUNCTION("""COMPUTED_VALUE"""),"RTL15B-DALIONTREND")</f>
        <v>RTL15B-DALIONTREND</v>
      </c>
      <c r="D441" s="4" t="str">
        <f ca="1">IFERROR(__xludf.DUMMYFUNCTION("""COMPUTED_VALUE"""),"Mobile SMARTS: Магазин 15, РАСШИРЕННЫЙ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на"&amp;"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операци"&amp;"й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1" s="4" t="str">
        <f ca="1">IFERROR(__xludf.DUMMYFUNCTION("""COMPUTED_VALUE"""),"Mobile SMARTS: Магазин 15, РАСШИРЕННЫЙ для «ДАЛИОН: ТРЕНД 1.0», для работы с товаром по штрихкодам ")</f>
        <v xml:space="preserve">Mobile SMARTS: Магазин 15, РАСШИРЕННЫЙ для «ДАЛИОН: ТРЕНД 1.0», для работы с товаром по штрихкодам </v>
      </c>
      <c r="F441" s="5">
        <f ca="1">IFERROR(__xludf.DUMMYFUNCTION("""COMPUTED_VALUE"""),15050)</f>
        <v>15050</v>
      </c>
    </row>
    <row r="442" spans="1:6" ht="86.25" customHeight="1" x14ac:dyDescent="0.2">
      <c r="A442" s="4" t="str">
        <f ca="1">IFERROR(__xludf.DUMMYFUNCTION("""COMPUTED_VALUE"""),"«ДАЛИОН: ТРЕНД 1.0»")</f>
        <v>«ДАЛИОН: ТРЕНД 1.0»</v>
      </c>
      <c r="B442" s="4" t="str">
        <f ca="1">IFERROR(__xludf.DUMMYFUNCTION("""COMPUTED_VALUE"""),"МЕГАМАРКЕТ")</f>
        <v>МЕГАМАРКЕТ</v>
      </c>
      <c r="C442" s="4" t="str">
        <f ca="1">IFERROR(__xludf.DUMMYFUNCTION("""COMPUTED_VALUE"""),"RTL15C-DALIONTREND")</f>
        <v>RTL15C-DALIONTREND</v>
      </c>
      <c r="D442" s="4" t="str">
        <f ca="1">IFERROR(__xludf.DUMMYFUNCTION("""COMPUTED_VALUE"""),"Mobile SMARTS: Магазин 15, МЕГАМАРКЕТ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"&amp;"мобильный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2" s="4" t="str">
        <f ca="1">IFERROR(__xludf.DUMMYFUNCTION("""COMPUTED_VALUE"""),"Mobile SMARTS: Магазин 15, МЕГАМАРКЕТ для «ДАЛИОН: ТРЕНД 1.0», для работы с товаром по штрихкодам ")</f>
        <v xml:space="preserve">Mobile SMARTS: Магазин 15, МЕГАМАРКЕТ для «ДАЛИОН: ТРЕНД 1.0», для работы с товаром по штрихкодам </v>
      </c>
      <c r="F442" s="5">
        <f ca="1">IFERROR(__xludf.DUMMYFUNCTION("""COMPUTED_VALUE"""),21550)</f>
        <v>21550</v>
      </c>
    </row>
    <row r="443" spans="1:6" ht="86.25" customHeight="1" x14ac:dyDescent="0.2">
      <c r="A443" s="4" t="str">
        <f ca="1">IFERROR(__xludf.DUMMYFUNCTION("""COMPUTED_VALUE"""),"«ДАЛИОН: ТРЕНД 1.0»")</f>
        <v>«ДАЛИОН: ТРЕНД 1.0»</v>
      </c>
      <c r="B443" s="4" t="str">
        <f ca="1">IFERROR(__xludf.DUMMYFUNCTION("""COMPUTED_VALUE"""),"с ЕГАИС, БАЗОВЫЙ")</f>
        <v>с ЕГАИС, БАЗОВЫЙ</v>
      </c>
      <c r="C443" s="4" t="str">
        <f ca="1">IFERROR(__xludf.DUMMYFUNCTION("""COMPUTED_VALUE"""),"RTL15AE-DALIONTREND")</f>
        <v>RTL15AE-DALIONTREND</v>
      </c>
      <c r="D443" s="4" t="str">
        <f ca="1">IFERROR(__xludf.DUMMYFUNCTION("""COMPUTED_VALUE"""),"Mobile SMARTS: Магазин 15 с ЕГАИС, БАЗОВЫЙ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пр"&amp;"иемка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с"&amp;"кладах,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43" s="4" t="str">
        <f ca="1">IFERROR(__xludf.DUMMYFUNCTION("""COMPUTED_VALUE"""),"Mobile SMARTS: Магазин 15 с ЕГАИС, БАЗОВЫЙ для «ДАЛИОН: ТРЕНД 1.0», для работы с маркированным товаром: алкоголь ЕГАИС и товары по штрихкодам ")</f>
        <v xml:space="preserve">Mobile SMARTS: Магазин 15 с ЕГАИС, БАЗОВЫЙ для «ДАЛИОН: ТРЕНД 1.0», для работы с маркированным товаром: алкоголь ЕГАИС и товары по штрихкодам </v>
      </c>
      <c r="F443" s="5">
        <f ca="1">IFERROR(__xludf.DUMMYFUNCTION("""COMPUTED_VALUE"""),11000)</f>
        <v>11000</v>
      </c>
    </row>
    <row r="444" spans="1:6" ht="86.25" customHeight="1" x14ac:dyDescent="0.2">
      <c r="A444" s="4" t="str">
        <f ca="1">IFERROR(__xludf.DUMMYFUNCTION("""COMPUTED_VALUE"""),"«ДАЛИОН: ТРЕНД 1.0»")</f>
        <v>«ДАЛИОН: ТРЕНД 1.0»</v>
      </c>
      <c r="B444" s="4" t="str">
        <f ca="1">IFERROR(__xludf.DUMMYFUNCTION("""COMPUTED_VALUE"""),"с ЕГАИС, РАСШИРЕННЫЙ")</f>
        <v>с ЕГАИС, РАСШИРЕННЫЙ</v>
      </c>
      <c r="C444" s="4" t="str">
        <f ca="1">IFERROR(__xludf.DUMMYFUNCTION("""COMPUTED_VALUE"""),"RTL15BE-DALIONTREND")</f>
        <v>RTL15BE-DALIONTREND</v>
      </c>
      <c r="D444" s="4" t="str">
        <f ca="1">IFERROR(__xludf.DUMMYFUNCTION("""COMPUTED_VALUE"""),"Mobile SMARTS: Магазин 15 с ЕГАИС, РАСШИРЕННЫЙ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алкоголя"&amp;",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4" s="4" t="str">
        <f ca="1">IFERROR(__xludf.DUMMYFUNCTION("""COMPUTED_VALUE"""),"Mobile SMARTS: Магазин 15 с ЕГАИС, РАСШИРЕННЫЙ для «ДАЛИОН: ТРЕНД 1.0», для работы с маркированным товаром: алкоголь ЕГАИС и товары по штрихкодам ")</f>
        <v xml:space="preserve">Mobile SMARTS: Магазин 15 с ЕГАИС, РАСШИРЕННЫЙ для «ДАЛИОН: ТРЕНД 1.0», для работы с маркированным товаром: алкоголь ЕГАИС и товары по штрихкодам </v>
      </c>
      <c r="F444" s="5">
        <f ca="1">IFERROR(__xludf.DUMMYFUNCTION("""COMPUTED_VALUE"""),17450)</f>
        <v>17450</v>
      </c>
    </row>
    <row r="445" spans="1:6" ht="86.25" customHeight="1" x14ac:dyDescent="0.2">
      <c r="A445" s="4" t="str">
        <f ca="1">IFERROR(__xludf.DUMMYFUNCTION("""COMPUTED_VALUE"""),"«ДАЛИОН: ТРЕНД 1.0»")</f>
        <v>«ДАЛИОН: ТРЕНД 1.0»</v>
      </c>
      <c r="B445" s="4" t="str">
        <f ca="1">IFERROR(__xludf.DUMMYFUNCTION("""COMPUTED_VALUE"""),"с ЕГАИС (без CheckMark2), МЕГАМАРКЕТ")</f>
        <v>с ЕГАИС (без CheckMark2), МЕГАМАРКЕТ</v>
      </c>
      <c r="C445" s="4" t="str">
        <f ca="1">IFERROR(__xludf.DUMMYFUNCTION("""COMPUTED_VALUE"""),"RTL15CEV-DALIONTREND")</f>
        <v>RTL15CEV-DALIONTREND</v>
      </c>
      <c r="D445" s="4" t="str">
        <f ca="1">IFERROR(__xludf.DUMMYFUNCTION("""COMPUTED_VALUE"""),"Mobile SMARTS: Магазин 15 с ЕГАИС (без CheckMark2), МЕГАМАРКЕТ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"&amp;"мобильный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Интерн"&amp;"ет на 1 (один) год")</f>
        <v>Mobile SMARTS: Магазин 15 с ЕГАИС (без CheckMark2), МЕГАМАРКЕТ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5" s="4" t="str">
        <f ca="1">IFERROR(__xludf.DUMMYFUNCTION("""COMPUTED_VALUE"""),"Mobile SMARTS: Магазин 15 с ЕГАИС (без CheckMark2), МЕГАМАРКЕТ для «ДАЛИОН: ТРЕНД 1.0», для работы с маркированным товаром: алкоголь ЕГАИС и товары по штрихкодам ")</f>
        <v xml:space="preserve">Mobile SMARTS: Магазин 15 с ЕГАИС (без CheckMark2), МЕГАМАРКЕТ для «ДАЛИОН: ТРЕНД 1.0», для работы с маркированным товаром: алкоголь ЕГАИС и товары по штрихкодам </v>
      </c>
      <c r="F445" s="5">
        <f ca="1">IFERROR(__xludf.DUMMYFUNCTION("""COMPUTED_VALUE"""),23850)</f>
        <v>23850</v>
      </c>
    </row>
    <row r="446" spans="1:6" ht="86.25" customHeight="1" x14ac:dyDescent="0.2">
      <c r="A446" s="4" t="str">
        <f ca="1">IFERROR(__xludf.DUMMYFUNCTION("""COMPUTED_VALUE"""),"«ДАЛИОН: ТРЕНД 2.0»")</f>
        <v>«ДАЛИОН: ТРЕНД 2.0»</v>
      </c>
      <c r="B446" s="4" t="str">
        <f ca="1">IFERROR(__xludf.DUMMYFUNCTION("""COMPUTED_VALUE"""),"МИНИМУМ")</f>
        <v>МИНИМУМ</v>
      </c>
      <c r="C446" s="4" t="str">
        <f ca="1">IFERROR(__xludf.DUMMYFUNCTION("""COMPUTED_VALUE"""),"RTL15M-DALIONTREND2")</f>
        <v>RTL15M-DALIONTREND2</v>
      </c>
      <c r="D446" s="4" t="str">
        <f ca="1">IFERROR(__xludf.DUMMYFUNCTION("""COMPUTED_VALUE"""),"Mobile SMARTS: Магазин 15, МИНИМУМ для «ДАЛИОН: ТРЕНД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пр"&amp;"оверка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«ДАЛИОН: ТРЕНД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46" s="4" t="str">
        <f ca="1">IFERROR(__xludf.DUMMYFUNCTION("""COMPUTED_VALUE"""),"Mobile SMARTS: Магазин 15, МИНИМУМ для «ДАЛИОН: ТРЕНД 2.0», для работы с товаром по штрихкодам ")</f>
        <v xml:space="preserve">Mobile SMARTS: Магазин 15, МИНИМУМ для «ДАЛИОН: ТРЕНД 2.0», для работы с товаром по штрихкодам </v>
      </c>
      <c r="F446" s="5">
        <f ca="1">IFERROR(__xludf.DUMMYFUNCTION("""COMPUTED_VALUE"""),3450)</f>
        <v>3450</v>
      </c>
    </row>
    <row r="447" spans="1:6" ht="86.25" customHeight="1" x14ac:dyDescent="0.2">
      <c r="A447" s="4" t="str">
        <f ca="1">IFERROR(__xludf.DUMMYFUNCTION("""COMPUTED_VALUE"""),"«ДАЛИОН: ТРЕНД 2.0»")</f>
        <v>«ДАЛИОН: ТРЕНД 2.0»</v>
      </c>
      <c r="B447" s="4" t="str">
        <f ca="1">IFERROR(__xludf.DUMMYFUNCTION("""COMPUTED_VALUE"""),"БАЗОВЫЙ")</f>
        <v>БАЗОВЫЙ</v>
      </c>
      <c r="C447" s="4" t="str">
        <f ca="1">IFERROR(__xludf.DUMMYFUNCTION("""COMPUTED_VALUE"""),"RTL15A-DALIONTREND2")</f>
        <v>RTL15A-DALIONTREND2</v>
      </c>
      <c r="D447" s="4" t="str">
        <f ca="1">IFERROR(__xludf.DUMMYFUNCTION("""COMPUTED_VALUE"""),"Mobile SMARTS: Магазин 15, БАЗОВЫЙ для «ДАЛИОН: ТРЕНД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моб"&amp;"ильный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"&amp;"возможность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«ДАЛИОН: ТРЕНД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7" s="4" t="str">
        <f ca="1">IFERROR(__xludf.DUMMYFUNCTION("""COMPUTED_VALUE"""),"Mobile SMARTS: Магазин 15, БАЗОВЫЙ для «ДАЛИОН: ТРЕНД 2.0», для работы с товаром по штрихкодам ")</f>
        <v xml:space="preserve">Mobile SMARTS: Магазин 15, БАЗОВЫЙ для «ДАЛИОН: ТРЕНД 2.0», для работы с товаром по штрихкодам </v>
      </c>
      <c r="F447" s="5">
        <f ca="1">IFERROR(__xludf.DUMMYFUNCTION("""COMPUTED_VALUE"""),8650)</f>
        <v>8650</v>
      </c>
    </row>
    <row r="448" spans="1:6" ht="86.25" customHeight="1" x14ac:dyDescent="0.2">
      <c r="A448" s="4" t="str">
        <f ca="1">IFERROR(__xludf.DUMMYFUNCTION("""COMPUTED_VALUE"""),"«ДАЛИОН: ТРЕНД 2.0»")</f>
        <v>«ДАЛИОН: ТРЕНД 2.0»</v>
      </c>
      <c r="B448" s="4" t="str">
        <f ca="1">IFERROR(__xludf.DUMMYFUNCTION("""COMPUTED_VALUE"""),"РАСШИРЕННЫЙ")</f>
        <v>РАСШИРЕННЫЙ</v>
      </c>
      <c r="C448" s="4" t="str">
        <f ca="1">IFERROR(__xludf.DUMMYFUNCTION("""COMPUTED_VALUE"""),"RTL15B-DALIONTREND2")</f>
        <v>RTL15B-DALIONTREND2</v>
      </c>
      <c r="D448" s="4" t="str">
        <f ca="1">IFERROR(__xludf.DUMMYFUNCTION("""COMPUTED_VALUE"""),"Mobile SMARTS: Магазин 15, РАСШИРЕННЫЙ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на"&amp;"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операци"&amp;"й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8" s="4" t="str">
        <f ca="1">IFERROR(__xludf.DUMMYFUNCTION("""COMPUTED_VALUE"""),"Mobile SMARTS: Магазин 15, РАСШИРЕННЫЙ для «ДАЛИОН: ТРЕНД 2.0», для работы с товаром по штрихкодам ")</f>
        <v xml:space="preserve">Mobile SMARTS: Магазин 15, РАСШИРЕННЫЙ для «ДАЛИОН: ТРЕНД 2.0», для работы с товаром по штрихкодам </v>
      </c>
      <c r="F448" s="5">
        <f ca="1">IFERROR(__xludf.DUMMYFUNCTION("""COMPUTED_VALUE"""),15050)</f>
        <v>15050</v>
      </c>
    </row>
    <row r="449" spans="1:6" ht="86.25" customHeight="1" x14ac:dyDescent="0.2">
      <c r="A449" s="4" t="str">
        <f ca="1">IFERROR(__xludf.DUMMYFUNCTION("""COMPUTED_VALUE"""),"«ДАЛИОН: ТРЕНД 2.0»")</f>
        <v>«ДАЛИОН: ТРЕНД 2.0»</v>
      </c>
      <c r="B449" s="4" t="str">
        <f ca="1">IFERROR(__xludf.DUMMYFUNCTION("""COMPUTED_VALUE"""),"МЕГАМАРКЕТ")</f>
        <v>МЕГАМАРКЕТ</v>
      </c>
      <c r="C449" s="4" t="str">
        <f ca="1">IFERROR(__xludf.DUMMYFUNCTION("""COMPUTED_VALUE"""),"RTL15C-DALIONTREND2")</f>
        <v>RTL15C-DALIONTREND2</v>
      </c>
      <c r="D449" s="4" t="str">
        <f ca="1">IFERROR(__xludf.DUMMYFUNCTION("""COMPUTED_VALUE"""),"Mobile SMARTS: Магазин 15, МЕГАМАРКЕТ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"&amp;"мобильный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9" s="4" t="str">
        <f ca="1">IFERROR(__xludf.DUMMYFUNCTION("""COMPUTED_VALUE"""),"Mobile SMARTS: Магазин 15, МЕГАМАРКЕТ для «ДАЛИОН: ТРЕНД 2.0», для работы с товаром по штрихкодам ")</f>
        <v xml:space="preserve">Mobile SMARTS: Магазин 15, МЕГАМАРКЕТ для «ДАЛИОН: ТРЕНД 2.0», для работы с товаром по штрихкодам </v>
      </c>
      <c r="F449" s="5">
        <f ca="1">IFERROR(__xludf.DUMMYFUNCTION("""COMPUTED_VALUE"""),21550)</f>
        <v>21550</v>
      </c>
    </row>
    <row r="450" spans="1:6" ht="86.25" customHeight="1" x14ac:dyDescent="0.2">
      <c r="A450" s="4" t="str">
        <f ca="1">IFERROR(__xludf.DUMMYFUNCTION("""COMPUTED_VALUE"""),"«ДАЛИОН: ТРЕНД 2.0»")</f>
        <v>«ДАЛИОН: ТРЕНД 2.0»</v>
      </c>
      <c r="B450" s="4" t="str">
        <f ca="1">IFERROR(__xludf.DUMMYFUNCTION("""COMPUTED_VALUE"""),"с ЕГАИС, БАЗОВЫЙ")</f>
        <v>с ЕГАИС, БАЗОВЫЙ</v>
      </c>
      <c r="C450" s="4" t="str">
        <f ca="1">IFERROR(__xludf.DUMMYFUNCTION("""COMPUTED_VALUE"""),"RTL15AE-DALIONTREND2")</f>
        <v>RTL15AE-DALIONTREND2</v>
      </c>
      <c r="D450" s="4" t="str">
        <f ca="1">IFERROR(__xludf.DUMMYFUNCTION("""COMPUTED_VALUE"""),"Mobile SMARTS: Магазин 15 с ЕГАИС, БАЗОВЫЙ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пр"&amp;"иемка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с"&amp;"кладах,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50" s="4" t="str">
        <f ca="1">IFERROR(__xludf.DUMMYFUNCTION("""COMPUTED_VALUE"""),"Mobile SMARTS: Магазин 15 с ЕГАИС, БАЗОВЫЙ для «ДАЛИОН: ТРЕНД 2.0», для работы с маркированным товаром: алкоголь ЕГАИС и товары по штрихкодам ")</f>
        <v xml:space="preserve">Mobile SMARTS: Магазин 15 с ЕГАИС, БАЗОВЫЙ для «ДАЛИОН: ТРЕНД 2.0», для работы с маркированным товаром: алкоголь ЕГАИС и товары по штрихкодам </v>
      </c>
      <c r="F450" s="5">
        <f ca="1">IFERROR(__xludf.DUMMYFUNCTION("""COMPUTED_VALUE"""),11000)</f>
        <v>11000</v>
      </c>
    </row>
    <row r="451" spans="1:6" ht="86.25" customHeight="1" x14ac:dyDescent="0.2">
      <c r="A451" s="4" t="str">
        <f ca="1">IFERROR(__xludf.DUMMYFUNCTION("""COMPUTED_VALUE"""),"«ДАЛИОН: ТРЕНД 2.0»")</f>
        <v>«ДАЛИОН: ТРЕНД 2.0»</v>
      </c>
      <c r="B451" s="4" t="str">
        <f ca="1">IFERROR(__xludf.DUMMYFUNCTION("""COMPUTED_VALUE"""),"с ЕГАИС, РАСШИРЕННЫЙ")</f>
        <v>с ЕГАИС, РАСШИРЕННЫЙ</v>
      </c>
      <c r="C451" s="4" t="str">
        <f ca="1">IFERROR(__xludf.DUMMYFUNCTION("""COMPUTED_VALUE"""),"RTL15BE-DALIONTREND2")</f>
        <v>RTL15BE-DALIONTREND2</v>
      </c>
      <c r="D451" s="4" t="str">
        <f ca="1">IFERROR(__xludf.DUMMYFUNCTION("""COMPUTED_VALUE"""),"Mobile SMARTS: Магазин 15 с ЕГАИС, РАСШИРЕННЫЙ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алкоголя"&amp;",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1" s="4" t="str">
        <f ca="1">IFERROR(__xludf.DUMMYFUNCTION("""COMPUTED_VALUE"""),"Mobile SMARTS: Магазин 15 с ЕГАИС, РАСШИРЕННЫЙ для «ДАЛИОН: ТРЕНД 2.0», для работы с маркированным товаром: алкоголь ЕГАИС и товары по штрихкодам ")</f>
        <v xml:space="preserve">Mobile SMARTS: Магазин 15 с ЕГАИС, РАСШИРЕННЫЙ для «ДАЛИОН: ТРЕНД 2.0», для работы с маркированным товаром: алкоголь ЕГАИС и товары по штрихкодам </v>
      </c>
      <c r="F451" s="5">
        <f ca="1">IFERROR(__xludf.DUMMYFUNCTION("""COMPUTED_VALUE"""),17450)</f>
        <v>17450</v>
      </c>
    </row>
    <row r="452" spans="1:6" ht="86.25" customHeight="1" x14ac:dyDescent="0.2">
      <c r="A452" s="4" t="str">
        <f ca="1">IFERROR(__xludf.DUMMYFUNCTION("""COMPUTED_VALUE"""),"«ДАЛИОН: ТРЕНД 2.0»")</f>
        <v>«ДАЛИОН: ТРЕНД 2.0»</v>
      </c>
      <c r="B452" s="4" t="str">
        <f ca="1">IFERROR(__xludf.DUMMYFUNCTION("""COMPUTED_VALUE"""),"с ЕГАИС (без CheckMark2), МЕГАМАРКЕТ")</f>
        <v>с ЕГАИС (без CheckMark2), МЕГАМАРКЕТ</v>
      </c>
      <c r="C452" s="4" t="str">
        <f ca="1">IFERROR(__xludf.DUMMYFUNCTION("""COMPUTED_VALUE"""),"RTL15CEV-DALIONTREND2")</f>
        <v>RTL15CEV-DALIONTREND2</v>
      </c>
      <c r="D452" s="4" t="str">
        <f ca="1">IFERROR(__xludf.DUMMYFUNCTION("""COMPUTED_VALUE"""),"Mobile SMARTS: Магазин 15 с ЕГАИС (без CheckMark2), МЕГАМАРКЕТ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"&amp;"мобильный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Интерн"&amp;"ет на 1 (один) год")</f>
        <v>Mobile SMARTS: Магазин 15 с ЕГАИС (без CheckMark2), МЕГАМАРКЕТ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2" s="4" t="str">
        <f ca="1">IFERROR(__xludf.DUMMYFUNCTION("""COMPUTED_VALUE"""),"Mobile SMARTS: Магазин 15 с ЕГАИС (без CheckMark2), МЕГАМАРКЕТ для «ДАЛИОН: ТРЕНД 2.0», для работы с маркированным товаром: алкоголь ЕГАИС и товары по штрихкодам ")</f>
        <v xml:space="preserve">Mobile SMARTS: Магазин 15 с ЕГАИС (без CheckMark2), МЕГАМАРКЕТ для «ДАЛИОН: ТРЕНД 2.0», для работы с маркированным товаром: алкоголь ЕГАИС и товары по штрихкодам </v>
      </c>
      <c r="F452" s="5">
        <f ca="1">IFERROR(__xludf.DUMMYFUNCTION("""COMPUTED_VALUE"""),23850)</f>
        <v>23850</v>
      </c>
    </row>
    <row r="453" spans="1:6" ht="86.25" customHeight="1" x14ac:dyDescent="0.2">
      <c r="A453" s="4" t="str">
        <f ca="1">IFERROR(__xludf.DUMMYFUNCTION("""COMPUTED_VALUE"""),"«ДАЛИОН: ТРЕНД 3.0»")</f>
        <v>«ДАЛИОН: ТРЕНД 3.0»</v>
      </c>
      <c r="B453" s="4" t="str">
        <f ca="1">IFERROR(__xludf.DUMMYFUNCTION("""COMPUTED_VALUE"""),"МИНИМУМ")</f>
        <v>МИНИМУМ</v>
      </c>
      <c r="C453" s="4" t="str">
        <f ca="1">IFERROR(__xludf.DUMMYFUNCTION("""COMPUTED_VALUE"""),"RTL15M-DALIONTREND30")</f>
        <v>RTL15M-DALIONTREND30</v>
      </c>
      <c r="D453" s="4" t="str">
        <f ca="1">IFERROR(__xludf.DUMMYFUNCTION("""COMPUTED_VALUE"""),"Mobile SMARTS: Магазин 15, МИНИМУМ для «ДАЛИОН: ТРЕНД 3.0»,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пр"&amp;"оверка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«ДАЛИОН: ТРЕНД 3.0»,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53" s="4" t="str">
        <f ca="1">IFERROR(__xludf.DUMMYFUNCTION("""COMPUTED_VALUE"""),"Mobile SMARTS: Магазин 15, МИНИМУМ для «ДАЛИОН: ТРЕНД 3.0», для работы с товаром по штрихкодам ")</f>
        <v xml:space="preserve">Mobile SMARTS: Магазин 15, МИНИМУМ для «ДАЛИОН: ТРЕНД 3.0», для работы с товаром по штрихкодам </v>
      </c>
      <c r="F453" s="5">
        <f ca="1">IFERROR(__xludf.DUMMYFUNCTION("""COMPUTED_VALUE"""),3450)</f>
        <v>3450</v>
      </c>
    </row>
    <row r="454" spans="1:6" ht="86.25" customHeight="1" x14ac:dyDescent="0.2">
      <c r="A454" s="4" t="str">
        <f ca="1">IFERROR(__xludf.DUMMYFUNCTION("""COMPUTED_VALUE"""),"«ДАЛИОН: ТРЕНД 3.0»")</f>
        <v>«ДАЛИОН: ТРЕНД 3.0»</v>
      </c>
      <c r="B454" s="4" t="str">
        <f ca="1">IFERROR(__xludf.DUMMYFUNCTION("""COMPUTED_VALUE"""),"БАЗОВЫЙ")</f>
        <v>БАЗОВЫЙ</v>
      </c>
      <c r="C454" s="4" t="str">
        <f ca="1">IFERROR(__xludf.DUMMYFUNCTION("""COMPUTED_VALUE"""),"RTL15A-DALIONTREND30")</f>
        <v>RTL15A-DALIONTREND30</v>
      </c>
      <c r="D454" s="4" t="str">
        <f ca="1">IFERROR(__xludf.DUMMYFUNCTION("""COMPUTED_VALUE"""),"Mobile SMARTS: Магазин 15, БАЗОВЫЙ для «ДАЛИОН: ТРЕНД 3.0»,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моб"&amp;"ильный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"&amp;"возможность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«ДАЛИОН: ТРЕНД 3.0»,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4" s="4" t="str">
        <f ca="1">IFERROR(__xludf.DUMMYFUNCTION("""COMPUTED_VALUE"""),"Mobile SMARTS: Магазин 15, БАЗОВЫЙ для «ДАЛИОН: ТРЕНД 3.0», для работы с товаром по штрихкодам ")</f>
        <v xml:space="preserve">Mobile SMARTS: Магазин 15, БАЗОВЫЙ для «ДАЛИОН: ТРЕНД 3.0», для работы с товаром по штрихкодам </v>
      </c>
      <c r="F454" s="5">
        <f ca="1">IFERROR(__xludf.DUMMYFUNCTION("""COMPUTED_VALUE"""),8650)</f>
        <v>8650</v>
      </c>
    </row>
    <row r="455" spans="1:6" ht="86.25" customHeight="1" x14ac:dyDescent="0.2">
      <c r="A455" s="4" t="str">
        <f ca="1">IFERROR(__xludf.DUMMYFUNCTION("""COMPUTED_VALUE"""),"«ДАЛИОН: ТРЕНД 3.0»")</f>
        <v>«ДАЛИОН: ТРЕНД 3.0»</v>
      </c>
      <c r="B455" s="4" t="str">
        <f ca="1">IFERROR(__xludf.DUMMYFUNCTION("""COMPUTED_VALUE"""),"РАСШИРЕННЫЙ")</f>
        <v>РАСШИРЕННЫЙ</v>
      </c>
      <c r="C455" s="4" t="str">
        <f ca="1">IFERROR(__xludf.DUMMYFUNCTION("""COMPUTED_VALUE"""),"RTL15B-DALIONTREND30")</f>
        <v>RTL15B-DALIONTREND30</v>
      </c>
      <c r="D455" s="4" t="str">
        <f ca="1">IFERROR(__xludf.DUMMYFUNCTION("""COMPUTED_VALUE"""),"Mobile SMARTS: Магазин 15, РАСШИРЕННЫЙ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на"&amp;"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операци"&amp;"й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5" s="4" t="str">
        <f ca="1">IFERROR(__xludf.DUMMYFUNCTION("""COMPUTED_VALUE"""),"Mobile SMARTS: Магазин 15, РАСШИРЕННЫЙ для «ДАЛИОН: ТРЕНД 3.0», для работы с товаром по штрихкодам ")</f>
        <v xml:space="preserve">Mobile SMARTS: Магазин 15, РАСШИРЕННЫЙ для «ДАЛИОН: ТРЕНД 3.0», для работы с товаром по штрихкодам </v>
      </c>
      <c r="F455" s="5">
        <f ca="1">IFERROR(__xludf.DUMMYFUNCTION("""COMPUTED_VALUE"""),15050)</f>
        <v>15050</v>
      </c>
    </row>
    <row r="456" spans="1:6" ht="86.25" customHeight="1" x14ac:dyDescent="0.2">
      <c r="A456" s="4" t="str">
        <f ca="1">IFERROR(__xludf.DUMMYFUNCTION("""COMPUTED_VALUE"""),"«ДАЛИОН: ТРЕНД 3.0»")</f>
        <v>«ДАЛИОН: ТРЕНД 3.0»</v>
      </c>
      <c r="B456" s="4" t="str">
        <f ca="1">IFERROR(__xludf.DUMMYFUNCTION("""COMPUTED_VALUE"""),"МЕГАМАРКЕТ")</f>
        <v>МЕГАМАРКЕТ</v>
      </c>
      <c r="C456" s="4" t="str">
        <f ca="1">IFERROR(__xludf.DUMMYFUNCTION("""COMPUTED_VALUE"""),"RTL15C-DALIONTREND30")</f>
        <v>RTL15C-DALIONTREND30</v>
      </c>
      <c r="D456" s="4" t="str">
        <f ca="1">IFERROR(__xludf.DUMMYFUNCTION("""COMPUTED_VALUE"""),"Mobile SMARTS: Магазин 15, МЕГАМАРКЕТ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"&amp;"мобильный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6" s="4" t="str">
        <f ca="1">IFERROR(__xludf.DUMMYFUNCTION("""COMPUTED_VALUE"""),"Mobile SMARTS: Магазин 15, МЕГАМАРКЕТ для «ДАЛИОН: ТРЕНД 3.0», для работы с товаром по штрихкодам ")</f>
        <v xml:space="preserve">Mobile SMARTS: Магазин 15, МЕГАМАРКЕТ для «ДАЛИОН: ТРЕНД 3.0», для работы с товаром по штрихкодам </v>
      </c>
      <c r="F456" s="5">
        <f ca="1">IFERROR(__xludf.DUMMYFUNCTION("""COMPUTED_VALUE"""),21550)</f>
        <v>21550</v>
      </c>
    </row>
    <row r="457" spans="1:6" ht="86.25" customHeight="1" x14ac:dyDescent="0.2">
      <c r="A457" s="4" t="str">
        <f ca="1">IFERROR(__xludf.DUMMYFUNCTION("""COMPUTED_VALUE"""),"«ДАЛИОН: ТРЕНД 3.0»")</f>
        <v>«ДАЛИОН: ТРЕНД 3.0»</v>
      </c>
      <c r="B457" s="4" t="str">
        <f ca="1">IFERROR(__xludf.DUMMYFUNCTION("""COMPUTED_VALUE"""),"с ЕГАИС, БАЗОВЫЙ")</f>
        <v>с ЕГАИС, БАЗОВЫЙ</v>
      </c>
      <c r="C457" s="4" t="str">
        <f ca="1">IFERROR(__xludf.DUMMYFUNCTION("""COMPUTED_VALUE"""),"RTL15AE-DALIONTREND30")</f>
        <v>RTL15AE-DALIONTREND30</v>
      </c>
      <c r="D457" s="4" t="str">
        <f ca="1">IFERROR(__xludf.DUMMYFUNCTION("""COMPUTED_VALUE"""),"Mobile SMARTS: Магазин 15 с ЕГАИС, БАЗОВЫЙ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пр"&amp;"иемка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с"&amp;"кладах,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57" s="4" t="str">
        <f ca="1">IFERROR(__xludf.DUMMYFUNCTION("""COMPUTED_VALUE"""),"Mobile SMARTS: Магазин 15 с ЕГАИС, БАЗОВЫЙ для «ДАЛИОН: ТРЕНД 3.0», для работы с маркированным товаром: алкоголь ЕГАИС и товары по штрихкодам ")</f>
        <v xml:space="preserve">Mobile SMARTS: Магазин 15 с ЕГАИС, БАЗОВЫЙ для «ДАЛИОН: ТРЕНД 3.0», для работы с маркированным товаром: алкоголь ЕГАИС и товары по штрихкодам </v>
      </c>
      <c r="F457" s="5">
        <f ca="1">IFERROR(__xludf.DUMMYFUNCTION("""COMPUTED_VALUE"""),11000)</f>
        <v>11000</v>
      </c>
    </row>
    <row r="458" spans="1:6" ht="86.25" customHeight="1" x14ac:dyDescent="0.2">
      <c r="A458" s="4" t="str">
        <f ca="1">IFERROR(__xludf.DUMMYFUNCTION("""COMPUTED_VALUE"""),"«ДАЛИОН: ТРЕНД 3.0»")</f>
        <v>«ДАЛИОН: ТРЕНД 3.0»</v>
      </c>
      <c r="B458" s="4" t="str">
        <f ca="1">IFERROR(__xludf.DUMMYFUNCTION("""COMPUTED_VALUE"""),"с ЕГАИС, РАСШИРЕННЫЙ")</f>
        <v>с ЕГАИС, РАСШИРЕННЫЙ</v>
      </c>
      <c r="C458" s="4" t="str">
        <f ca="1">IFERROR(__xludf.DUMMYFUNCTION("""COMPUTED_VALUE"""),"RTL15BE-DALIONTREND30")</f>
        <v>RTL15BE-DALIONTREND30</v>
      </c>
      <c r="D458" s="4" t="str">
        <f ca="1">IFERROR(__xludf.DUMMYFUNCTION("""COMPUTED_VALUE"""),"Mobile SMARTS: Магазин 15 с ЕГАИС, РАСШИРЕННЫЙ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алкоголя"&amp;",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8" s="4" t="str">
        <f ca="1">IFERROR(__xludf.DUMMYFUNCTION("""COMPUTED_VALUE"""),"Mobile SMARTS: Магазин 15 с ЕГАИС, РАСШИРЕННЫЙ для «ДАЛИОН: ТРЕНД 3.0», для работы с маркированным товаром: алкоголь ЕГАИС и товары по штрихкодам ")</f>
        <v xml:space="preserve">Mobile SMARTS: Магазин 15 с ЕГАИС, РАСШИРЕННЫЙ для «ДАЛИОН: ТРЕНД 3.0», для работы с маркированным товаром: алкоголь ЕГАИС и товары по штрихкодам </v>
      </c>
      <c r="F458" s="5">
        <f ca="1">IFERROR(__xludf.DUMMYFUNCTION("""COMPUTED_VALUE"""),17450)</f>
        <v>17450</v>
      </c>
    </row>
    <row r="459" spans="1:6" ht="86.25" customHeight="1" x14ac:dyDescent="0.2">
      <c r="A459" s="4" t="str">
        <f ca="1">IFERROR(__xludf.DUMMYFUNCTION("""COMPUTED_VALUE"""),"«ДАЛИОН: ТРЕНД 3.0»")</f>
        <v>«ДАЛИОН: ТРЕНД 3.0»</v>
      </c>
      <c r="B459" s="4" t="str">
        <f ca="1">IFERROR(__xludf.DUMMYFUNCTION("""COMPUTED_VALUE"""),"с ЕГАИС (без CheckMark2), МЕГАМАРКЕТ")</f>
        <v>с ЕГАИС (без CheckMark2), МЕГАМАРКЕТ</v>
      </c>
      <c r="C459" s="4" t="str">
        <f ca="1">IFERROR(__xludf.DUMMYFUNCTION("""COMPUTED_VALUE"""),"RTL15CEV-DALIONTREND30")</f>
        <v>RTL15CEV-DALIONTREND30</v>
      </c>
      <c r="D459" s="4" t="str">
        <f ca="1">IFERROR(__xludf.DUMMYFUNCTION("""COMPUTED_VALUE"""),"Mobile SMARTS: Магазин 15 с ЕГАИС (без CheckMark2), МЕГАМАРКЕТ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"&amp;"мобильный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Интерн"&amp;"ет на 1 (один) год")</f>
        <v>Mobile SMARTS: Магазин 15 с ЕГАИС (без CheckMark2), МЕГАМАРКЕТ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9" s="4" t="str">
        <f ca="1">IFERROR(__xludf.DUMMYFUNCTION("""COMPUTED_VALUE"""),"Mobile SMARTS: Магазин 15 с ЕГАИС (без CheckMark2), МЕГАМАРКЕТ для «ДАЛИОН: ТРЕНД 3.0», для работы с маркированным товаром: алкоголь ЕГАИС и товары по штрихкодам ")</f>
        <v xml:space="preserve">Mobile SMARTS: Магазин 15 с ЕГАИС (без CheckMark2), МЕГАМАРКЕТ для «ДАЛИОН: ТРЕНД 3.0», для работы с маркированным товаром: алкоголь ЕГАИС и товары по штрихкодам </v>
      </c>
      <c r="F459" s="5">
        <f ca="1">IFERROR(__xludf.DUMMYFUNCTION("""COMPUTED_VALUE"""),23850)</f>
        <v>23850</v>
      </c>
    </row>
    <row r="460" spans="1:6" ht="86.25" customHeight="1" x14ac:dyDescent="0.2">
      <c r="A460" s="4" t="str">
        <f ca="1">IFERROR(__xludf.DUMMYFUNCTION("""COMPUTED_VALUE"""),"«ДАЛИОН: ТРЕНД 3.0»")</f>
        <v>«ДАЛИОН: ТРЕНД 3.0»</v>
      </c>
      <c r="B460" s="4" t="str">
        <f ca="1">IFERROR(__xludf.DUMMYFUNCTION("""COMPUTED_VALUE"""),"с МОТП, БАЗОВЫЙ")</f>
        <v>с МОТП, БАЗОВЫЙ</v>
      </c>
      <c r="C460" s="4" t="str">
        <f ca="1">IFERROR(__xludf.DUMMYFUNCTION("""COMPUTED_VALUE"""),"RTL15AT-DALIONTREND30")</f>
        <v>RTL15AT-DALIONTREND30</v>
      </c>
      <c r="D460" s="4" t="str">
        <f ca="1">IFERROR(__xludf.DUMMYFUNCTION("""COMPUTED_VALUE"""),"Mobile SMARTS: Магазин 15 с МОТП, БАЗОВЫЙ для «ДАЛИОН: ТРЕНД 3.0»,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приемка"&amp;"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«ДАЛИОН: ТРЕНД 3.0»,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0" s="4" t="str">
        <f ca="1">IFERROR(__xludf.DUMMYFUNCTION("""COMPUTED_VALUE"""),"Mobile SMARTS: Магазин 15 с МОТП, БАЗОВЫЙ для «ДАЛИОН: ТРЕНД 3.0»")</f>
        <v>Mobile SMARTS: Магазин 15 с МОТП, БАЗОВЫЙ для «ДАЛИОН: ТРЕНД 3.0»</v>
      </c>
      <c r="F460" s="5">
        <f ca="1">IFERROR(__xludf.DUMMYFUNCTION("""COMPUTED_VALUE"""),11150)</f>
        <v>11150</v>
      </c>
    </row>
    <row r="461" spans="1:6" ht="86.25" customHeight="1" x14ac:dyDescent="0.2">
      <c r="A461" s="4" t="str">
        <f ca="1">IFERROR(__xludf.DUMMYFUNCTION("""COMPUTED_VALUE"""),"«ДАЛИОН: ТРЕНД 3.0»")</f>
        <v>«ДАЛИОН: ТРЕНД 3.0»</v>
      </c>
      <c r="B461" s="4" t="str">
        <f ca="1">IFERROR(__xludf.DUMMYFUNCTION("""COMPUTED_VALUE"""),"с МОТП, РАСШИРЕННЫЙ")</f>
        <v>с МОТП, РАСШИРЕННЫЙ</v>
      </c>
      <c r="C461" s="4" t="str">
        <f ca="1">IFERROR(__xludf.DUMMYFUNCTION("""COMPUTED_VALUE"""),"RTL15BT-DALIONTREND30")</f>
        <v>RTL15BT-DALIONTREND30</v>
      </c>
      <c r="D461" s="4" t="str">
        <f ca="1">IFERROR(__xludf.DUMMYFUNCTION("""COMPUTED_VALUE"""),"Mobile SMARTS: Магазин 15 с МОТП, РАСШИРЕННЫЙ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при"&amp;"емка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с"&amp;"кладах,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1" s="4" t="str">
        <f ca="1">IFERROR(__xludf.DUMMYFUNCTION("""COMPUTED_VALUE"""),"Mobile SMARTS: Магазин 15 с МОТП, РАСШИРЕННЫЙ для «ДАЛИОН: ТРЕНД 3.0»")</f>
        <v>Mobile SMARTS: Магазин 15 с МОТП, РАСШИРЕННЫЙ для «ДАЛИОН: ТРЕНД 3.0»</v>
      </c>
      <c r="F461" s="5">
        <f ca="1">IFERROR(__xludf.DUMMYFUNCTION("""COMPUTED_VALUE"""),17450)</f>
        <v>17450</v>
      </c>
    </row>
    <row r="462" spans="1:6" ht="86.25" customHeight="1" x14ac:dyDescent="0.2">
      <c r="A462" s="4" t="str">
        <f ca="1">IFERROR(__xludf.DUMMYFUNCTION("""COMPUTED_VALUE"""),"«ДАЛИОН: ТРЕНД 3.0»")</f>
        <v>«ДАЛИОН: ТРЕНД 3.0»</v>
      </c>
      <c r="B462" s="4" t="str">
        <f ca="1">IFERROR(__xludf.DUMMYFUNCTION("""COMPUTED_VALUE"""),"с МОТП, МЕГАМАРКЕТ")</f>
        <v>с МОТП, МЕГАМАРКЕТ</v>
      </c>
      <c r="C462" s="4" t="str">
        <f ca="1">IFERROR(__xludf.DUMMYFUNCTION("""COMPUTED_VALUE"""),"RTL15CT-DALIONTREND30")</f>
        <v>RTL15CT-DALIONTREND30</v>
      </c>
      <c r="D462" s="4" t="str">
        <f ca="1">IFERROR(__xludf.DUMMYFUNCTION("""COMPUTED_VALUE"""),"Mobile SMARTS: Магазин 15 с МОТП, МЕГАМАРКЕТ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прие"&amp;"мка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МЕГАМАРКЕТ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2" s="4" t="str">
        <f ca="1">IFERROR(__xludf.DUMMYFUNCTION("""COMPUTED_VALUE"""),"Mobile SMARTS: Магазин 15 с МОТП, МЕГАМАРКЕТ для «ДАЛИОН: ТРЕНД 3.0»")</f>
        <v>Mobile SMARTS: Магазин 15 с МОТП, МЕГАМАРКЕТ для «ДАЛИОН: ТРЕНД 3.0»</v>
      </c>
      <c r="F462" s="5">
        <f ca="1">IFERROR(__xludf.DUMMYFUNCTION("""COMPUTED_VALUE"""),23850)</f>
        <v>23850</v>
      </c>
    </row>
    <row r="463" spans="1:6" ht="86.25" customHeight="1" x14ac:dyDescent="0.2">
      <c r="A463" s="4" t="str">
        <f ca="1">IFERROR(__xludf.DUMMYFUNCTION("""COMPUTED_VALUE"""),"«ДАЛИОН: ТРЕНД 3.0»")</f>
        <v>«ДАЛИОН: ТРЕНД 3.0»</v>
      </c>
      <c r="B463" s="4" t="str">
        <f ca="1">IFERROR(__xludf.DUMMYFUNCTION("""COMPUTED_VALUE"""),"с ЕГАИС и МОТП, БАЗОВЫЙ")</f>
        <v>с ЕГАИС и МОТП, БАЗОВЫЙ</v>
      </c>
      <c r="C463" s="4" t="str">
        <f ca="1">IFERROR(__xludf.DUMMYFUNCTION("""COMPUTED_VALUE"""),"RTL15AET-DALIONTREND30")</f>
        <v>RTL15AET-DALIONTREND30</v>
      </c>
      <c r="D463" s="4" t="str">
        <f ca="1">IFERROR(__xludf.DUMMYFUNCTION("""COMPUTED_VALUE"""),"Mobile SMARTS: Магазин 15 с ЕГАИС и МОТП, БАЗОВЫЙ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алко"&amp;"голя,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марки"&amp;"ровка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доб"&amp;"авлять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3" s="4" t="str">
        <f ca="1">IFERROR(__xludf.DUMMYFUNCTION("""COMPUTED_VALUE"""),"Mobile SMARTS: Магазин 15 с ЕГАИС и МОТП, БАЗОВЫЙ для «ДАЛИОН: ТРЕНД 3.0»")</f>
        <v>Mobile SMARTS: Магазин 15 с ЕГАИС и МОТП, БАЗОВЫЙ для «ДАЛИОН: ТРЕНД 3.0»</v>
      </c>
      <c r="F463" s="5">
        <f ca="1">IFERROR(__xludf.DUMMYFUNCTION("""COMPUTED_VALUE"""),12150)</f>
        <v>12150</v>
      </c>
    </row>
    <row r="464" spans="1:6" ht="86.25" customHeight="1" x14ac:dyDescent="0.2">
      <c r="A464" s="4" t="str">
        <f ca="1">IFERROR(__xludf.DUMMYFUNCTION("""COMPUTED_VALUE"""),"«ДАЛИОН: ТРЕНД 3.0»")</f>
        <v>«ДАЛИОН: ТРЕНД 3.0»</v>
      </c>
      <c r="B464" s="4" t="str">
        <f ca="1">IFERROR(__xludf.DUMMYFUNCTION("""COMPUTED_VALUE"""),"с ЕГАИС и МОТП, РАСШИРЕННЫЙ")</f>
        <v>с ЕГАИС и МОТП, РАСШИРЕННЫЙ</v>
      </c>
      <c r="C464" s="4" t="str">
        <f ca="1">IFERROR(__xludf.DUMMYFUNCTION("""COMPUTED_VALUE"""),"RTL15BET-DALIONTREND30")</f>
        <v>RTL15BET-DALIONTREND30</v>
      </c>
      <c r="D464" s="4" t="str">
        <f ca="1">IFERROR(__xludf.DUMMYFUNCTION("""COMPUTED_VALUE"""),"Mobile SMARTS: Магазин 15 с ЕГАИС и МОТП, РАСШИРЕННЫЙ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"&amp;"алкоголя,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м"&amp;"аркировка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возможность"&amp;"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4" s="4" t="str">
        <f ca="1">IFERROR(__xludf.DUMMYFUNCTION("""COMPUTED_VALUE"""),"Mobile SMARTS: Магазин 15 с ЕГАИС и МОТП, РАСШИРЕННЫЙ для «ДАЛИОН: ТРЕНД 3.0»")</f>
        <v>Mobile SMARTS: Магазин 15 с ЕГАИС и МОТП, РАСШИРЕННЫЙ для «ДАЛИОН: ТРЕНД 3.0»</v>
      </c>
      <c r="F464" s="5">
        <f ca="1">IFERROR(__xludf.DUMMYFUNCTION("""COMPUTED_VALUE"""),18550)</f>
        <v>18550</v>
      </c>
    </row>
    <row r="465" spans="1:6" ht="86.25" customHeight="1" x14ac:dyDescent="0.2">
      <c r="A465" s="4" t="str">
        <f ca="1">IFERROR(__xludf.DUMMYFUNCTION("""COMPUTED_VALUE"""),"«ДАЛИОН: ТРЕНД 3.0»")</f>
        <v>«ДАЛИОН: ТРЕНД 3.0»</v>
      </c>
      <c r="B465" s="4" t="str">
        <f ca="1">IFERROR(__xludf.DUMMYFUNCTION("""COMPUTED_VALUE"""),"с ЕГАИС и МОТП, МЕГАМАРКЕТ")</f>
        <v>с ЕГАИС и МОТП, МЕГАМАРКЕТ</v>
      </c>
      <c r="C465" s="4" t="str">
        <f ca="1">IFERROR(__xludf.DUMMYFUNCTION("""COMPUTED_VALUE"""),"RTL15CET-DALIONTREND30")</f>
        <v>RTL15CET-DALIONTREND30</v>
      </c>
      <c r="D465" s="4" t="str">
        <f ca="1">IFERROR(__xludf.DUMMYFUNCTION("""COMPUTED_VALUE"""),"Mobile SMARTS: Магазин 15 с ЕГАИС и МОТП, МЕГАМАРКЕТ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а"&amp;"лкоголя,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ма"&amp;"ркировка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оп"&amp;"ераций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5" s="4" t="str">
        <f ca="1">IFERROR(__xludf.DUMMYFUNCTION("""COMPUTED_VALUE"""),"Mobile SMARTS: Магазин 15 с ЕГАИС и МОТП, МЕГАМАРКЕТ для «ДАЛИОН: ТРЕНД 3.0»")</f>
        <v>Mobile SMARTS: Магазин 15 с ЕГАИС и МОТП, МЕГАМАРКЕТ для «ДАЛИОН: ТРЕНД 3.0»</v>
      </c>
      <c r="F465" s="5">
        <f ca="1">IFERROR(__xludf.DUMMYFUNCTION("""COMPUTED_VALUE"""),26350)</f>
        <v>26350</v>
      </c>
    </row>
    <row r="466" spans="1:6" ht="86.25" customHeight="1" x14ac:dyDescent="0.2">
      <c r="A466" s="4" t="str">
        <f ca="1">IFERROR(__xludf.DUMMYFUNCTION("""COMPUTED_VALUE"""),"«ДАЛИОН: ТРЕНД 3.0»")</f>
        <v>«ДАЛИОН: ТРЕНД 3.0»</v>
      </c>
      <c r="B466" s="4" t="str">
        <f ca="1">IFERROR(__xludf.DUMMYFUNCTION("""COMPUTED_VALUE"""),"ШМОТКИ, БАЗОВЫЙ")</f>
        <v>ШМОТКИ, БАЗОВЫЙ</v>
      </c>
      <c r="C466" s="4" t="str">
        <f ca="1">IFERROR(__xludf.DUMMYFUNCTION("""COMPUTED_VALUE"""),"RTL15AK-DALIONTREND30")</f>
        <v>RTL15AK-DALIONTREND30</v>
      </c>
      <c r="D466" s="4" t="str">
        <f ca="1">IFERROR(__xludf.DUMMYFUNCTION("""COMPUTED_VALUE"""),"Mobile SMARTS: Магазин 15 ШМОТКИ, БАЗОВЫЙ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посту"&amp;"пление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инфо"&amp;"рмация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ШМОТКИ, БАЗОВЫЙ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6" s="4" t="str">
        <f ca="1">IFERROR(__xludf.DUMMYFUNCTION("""COMPUTED_VALUE"""),"Mobile SMARTS: Магазин 15 ШМОТКИ, БАЗОВЫЙ для «ДАЛИОН: ТРЕНД 3.0», для работы с маркированным товаром: ОБУВЬ, ОДЕЖДА, ПАРФЮМ, ШИНЫ и товары по штрихкодам ")</f>
        <v xml:space="preserve">Mobile SMARTS: Магазин 15 ШМОТКИ, БАЗОВЫЙ для «ДАЛИОН: ТРЕНД 3.0», для работы с маркированным товаром: ОБУВЬ, ОДЕЖДА, ПАРФЮМ, ШИНЫ и товары по штрихкодам </v>
      </c>
      <c r="F466" s="5">
        <f ca="1">IFERROR(__xludf.DUMMYFUNCTION("""COMPUTED_VALUE"""),12150)</f>
        <v>12150</v>
      </c>
    </row>
    <row r="467" spans="1:6" ht="86.25" customHeight="1" x14ac:dyDescent="0.2">
      <c r="A467" s="4" t="str">
        <f ca="1">IFERROR(__xludf.DUMMYFUNCTION("""COMPUTED_VALUE"""),"«ДАЛИОН: ТРЕНД 3.0»")</f>
        <v>«ДАЛИОН: ТРЕНД 3.0»</v>
      </c>
      <c r="B467" s="4" t="str">
        <f ca="1">IFERROR(__xludf.DUMMYFUNCTION("""COMPUTED_VALUE"""),"ШМОТКИ, РАСШИРЕННЫЙ")</f>
        <v>ШМОТКИ, РАСШИРЕННЫЙ</v>
      </c>
      <c r="C467" s="4" t="str">
        <f ca="1">IFERROR(__xludf.DUMMYFUNCTION("""COMPUTED_VALUE"""),"RTL15BK-DALIONTREND30")</f>
        <v>RTL15BK-DALIONTREND30</v>
      </c>
      <c r="D467" s="4" t="str">
        <f ca="1">IFERROR(__xludf.DUMMYFUNCTION("""COMPUTED_VALUE"""),"Mobile SMARTS: Магазин 15 ШМОТКИ, РАСШИРЕННЫЙ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п"&amp;"оступление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ШМОТКИ, РАСШИРЕННЫЙ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7" s="4" t="str">
        <f ca="1">IFERROR(__xludf.DUMMYFUNCTION("""COMPUTED_VALUE"""),"Mobile SMARTS: Магазин 15 ШМОТКИ, РАСШИРЕННЫЙ для «ДАЛИОН: ТРЕНД 3.0», для работы с маркированным товаром: ОБУВЬ, ОДЕЖДА, ПАРФЮМ, ШИНЫ и товары по штрихкодам ")</f>
        <v xml:space="preserve">Mobile SMARTS: Магазин 15 ШМОТКИ, РАСШИРЕННЫЙ для «ДАЛИОН: ТРЕНД 3.0», для работы с маркированным товаром: ОБУВЬ, ОДЕЖДА, ПАРФЮМ, ШИНЫ и товары по штрихкодам </v>
      </c>
      <c r="F467" s="5">
        <f ca="1">IFERROR(__xludf.DUMMYFUNCTION("""COMPUTED_VALUE"""),18550)</f>
        <v>18550</v>
      </c>
    </row>
    <row r="468" spans="1:6" ht="86.25" customHeight="1" x14ac:dyDescent="0.2">
      <c r="A468" s="4" t="str">
        <f ca="1">IFERROR(__xludf.DUMMYFUNCTION("""COMPUTED_VALUE"""),"«ДАЛИОН: ТРЕНД 3.0»")</f>
        <v>«ДАЛИОН: ТРЕНД 3.0»</v>
      </c>
      <c r="B468" s="4" t="str">
        <f ca="1">IFERROR(__xludf.DUMMYFUNCTION("""COMPUTED_VALUE"""),"ШМОТКИ, МЕГАМАРКЕТ")</f>
        <v>ШМОТКИ, МЕГАМАРКЕТ</v>
      </c>
      <c r="C468" s="4" t="str">
        <f ca="1">IFERROR(__xludf.DUMMYFUNCTION("""COMPUTED_VALUE"""),"RTL15CK-DALIONTREND30")</f>
        <v>RTL15CK-DALIONTREND30</v>
      </c>
      <c r="D468" s="4" t="str">
        <f ca="1">IFERROR(__xludf.DUMMYFUNCTION("""COMPUTED_VALUE"""),"Mobile SMARTS: Магазин 15 ШМОТКИ, МЕГАМАРКЕТ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по"&amp;"ступление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к"&amp;"оллективная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Инте"&amp;"рнет на 1 (один) год")</f>
        <v>Mobile SMARTS: Магазин 15 ШМОТКИ, МЕГАМАРКЕТ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8" s="4" t="str">
        <f ca="1">IFERROR(__xludf.DUMMYFUNCTION("""COMPUTED_VALUE"""),"Mobile SMARTS: Магазин 15 ШМОТКИ, МЕГАМАРКЕТ для «ДАЛИОН: ТРЕНД 3.0», для работы с маркированным товаром: ОБУВЬ, ОДЕЖДА, ПАРФЮМ, ШИНЫ и товары по штрихкодам ")</f>
        <v xml:space="preserve">Mobile SMARTS: Магазин 15 ШМОТКИ, МЕГАМАРКЕТ для «ДАЛИОН: ТРЕНД 3.0», для работы с маркированным товаром: ОБУВЬ, ОДЕЖДА, ПАРФЮМ, ШИНЫ и товары по штрихкодам </v>
      </c>
      <c r="F468" s="5">
        <f ca="1">IFERROR(__xludf.DUMMYFUNCTION("""COMPUTED_VALUE"""),26350)</f>
        <v>26350</v>
      </c>
    </row>
    <row r="469" spans="1:6" ht="86.25" customHeight="1" x14ac:dyDescent="0.2">
      <c r="A469" s="4" t="str">
        <f ca="1">IFERROR(__xludf.DUMMYFUNCTION("""COMPUTED_VALUE"""),"«ДАЛИОН: ТРЕНД 3.0»")</f>
        <v>«ДАЛИОН: ТРЕНД 3.0»</v>
      </c>
      <c r="B469" s="4" t="str">
        <f ca="1">IFERROR(__xludf.DUMMYFUNCTION("""COMPUTED_VALUE"""),"ПРОДУКТОВЫЙ, БАЗОВЫЙ")</f>
        <v>ПРОДУКТОВЫЙ, БАЗОВЫЙ</v>
      </c>
      <c r="C469" s="4" t="str">
        <f ca="1">IFERROR(__xludf.DUMMYFUNCTION("""COMPUTED_VALUE"""),"RTL15AG-DALIONTREND30")</f>
        <v>RTL15AG-DALIONTREND30</v>
      </c>
      <c r="D469" s="4" t="str">
        <f ca="1">IFERROR(__xludf.DUMMYFUNCTION("""COMPUTED_VALUE"""),"Mobile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"&amp;"/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отгрузк"&amp;"а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9" s="4" t="str">
        <f ca="1">IFERROR(__xludf.DUMMYFUNCTION("""COMPUTED_VALUE"""),"Mobile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</v>
      </c>
      <c r="F469" s="5">
        <f ca="1">IFERROR(__xludf.DUMMYFUNCTION("""COMPUTED_VALUE"""),14550)</f>
        <v>14550</v>
      </c>
    </row>
    <row r="470" spans="1:6" ht="86.25" customHeight="1" x14ac:dyDescent="0.2">
      <c r="A470" s="4" t="str">
        <f ca="1">IFERROR(__xludf.DUMMYFUNCTION("""COMPUTED_VALUE"""),"«ДАЛИОН: ТРЕНД 3.0»")</f>
        <v>«ДАЛИОН: ТРЕНД 3.0»</v>
      </c>
      <c r="B470" s="4" t="str">
        <f ca="1">IFERROR(__xludf.DUMMYFUNCTION("""COMPUTED_VALUE"""),"ПРОДУКТОВЫЙ, РАСШИРЕННЫЙ")</f>
        <v>ПРОДУКТОВЫЙ, РАСШИРЕННЫЙ</v>
      </c>
      <c r="C470" s="4" t="str">
        <f ca="1">IFERROR(__xludf.DUMMYFUNCTION("""COMPUTED_VALUE"""),"RTL15BG-DALIONTREND30")</f>
        <v>RTL15BG-DALIONTREND30</v>
      </c>
      <c r="D470" s="4" t="str">
        <f ca="1">IFERROR(__xludf.DUMMYFUNCTION("""COMPUTED_VALUE"""),"Mobile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Интер"&amp;"нет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отг"&amp;"рузка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"&amp;"изменение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0" s="4" t="str">
        <f ca="1">IFERROR(__xludf.DUMMYFUNCTION("""COMPUTED_VALUE"""),"Mobile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</v>
      </c>
      <c r="F470" s="5">
        <f ca="1">IFERROR(__xludf.DUMMYFUNCTION("""COMPUTED_VALUE"""),20950)</f>
        <v>20950</v>
      </c>
    </row>
    <row r="471" spans="1:6" ht="86.25" customHeight="1" x14ac:dyDescent="0.2">
      <c r="A471" s="4" t="str">
        <f ca="1">IFERROR(__xludf.DUMMYFUNCTION("""COMPUTED_VALUE"""),"«ДАЛИОН: ТРЕНД 3.0»")</f>
        <v>«ДАЛИОН: ТРЕНД 3.0»</v>
      </c>
      <c r="B471" s="4" t="str">
        <f ca="1">IFERROR(__xludf.DUMMYFUNCTION("""COMPUTED_VALUE"""),"ПРОДУКТОВЫЙ, МЕГАМАРКЕТ")</f>
        <v>ПРОДУКТОВЫЙ, МЕГАМАРКЕТ</v>
      </c>
      <c r="C471" s="4" t="str">
        <f ca="1">IFERROR(__xludf.DUMMYFUNCTION("""COMPUTED_VALUE"""),"RTL15CG-DALIONTREND30")</f>
        <v>RTL15CG-DALIONTREND30</v>
      </c>
      <c r="D471" s="4" t="str">
        <f ca="1">IFERROR(__xludf.DUMMYFUNCTION("""COMPUTED_VALUE"""),"Mobile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Интерн"&amp;"ет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отгр"&amp;"узка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"&amp;"и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1" s="4" t="str">
        <f ca="1">IFERROR(__xludf.DUMMYFUNCTION("""COMPUTED_VALUE"""),"Mobile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")</f>
        <v xml:space="preserve">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</v>
      </c>
      <c r="F471" s="5">
        <f ca="1">IFERROR(__xludf.DUMMYFUNCTION("""COMPUTED_VALUE"""),28250)</f>
        <v>28250</v>
      </c>
    </row>
    <row r="472" spans="1:6" ht="86.25" customHeight="1" x14ac:dyDescent="0.2">
      <c r="A472" s="4"/>
      <c r="B472" s="4"/>
      <c r="C472" s="4"/>
      <c r="D472" s="4" t="str">
        <f ca="1">IFERROR(__xludf.DUMMYFUNCTION("""COMPUTED_VALUE"""),"Лицензии для «Астор» стандартные")</f>
        <v>Лицензии для «Астор» стандартные</v>
      </c>
      <c r="E472" s="4" t="str">
        <f ca="1">IFERROR(__xludf.DUMMYFUNCTION("""COMPUTED_VALUE"""),"#VALUE!")</f>
        <v>#VALUE!</v>
      </c>
      <c r="F472" s="5" t="str">
        <f ca="1">IFERROR(__xludf.DUMMYFUNCTION("""COMPUTED_VALUE"""),"#N/A")</f>
        <v>#N/A</v>
      </c>
    </row>
    <row r="473" spans="1:6" ht="86.25" customHeight="1" x14ac:dyDescent="0.2">
      <c r="A473" s="4" t="str">
        <f ca="1">IFERROR(__xludf.DUMMYFUNCTION("""COMPUTED_VALUE"""),"«АСТОР: Ваш магазин 7 SE»")</f>
        <v>«АСТОР: Ваш магазин 7 SE»</v>
      </c>
      <c r="B473" s="4" t="str">
        <f ca="1">IFERROR(__xludf.DUMMYFUNCTION("""COMPUTED_VALUE"""),"МИНИМУМ")</f>
        <v>МИНИМУМ</v>
      </c>
      <c r="C473" s="4" t="str">
        <f ca="1">IFERROR(__xludf.DUMMYFUNCTION("""COMPUTED_VALUE"""),"RTL15M-ASTORYM7SE")</f>
        <v>RTL15M-ASTORYM7SE</v>
      </c>
      <c r="D473" s="4" t="str">
        <f ca="1">IFERROR(__xludf.DUMMYFUNCTION("""COMPUTED_VALUE"""),"Mobile SMARTS: Магазин 15, МИНИМУМ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настрой"&amp;"ка,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73" s="4" t="str">
        <f ca="1">IFERROR(__xludf.DUMMYFUNCTION("""COMPUTED_VALUE"""),"Mobile SMARTS: Магазин 15, МИНИМУМ для «АСТОР: Ваш магазин 7 SE», для работы с товаром по штрихкодам ")</f>
        <v xml:space="preserve">Mobile SMARTS: Магазин 15, МИНИМУМ для «АСТОР: Ваш магазин 7 SE», для работы с товаром по штрихкодам </v>
      </c>
      <c r="F473" s="5">
        <f ca="1">IFERROR(__xludf.DUMMYFUNCTION("""COMPUTED_VALUE"""),3450)</f>
        <v>3450</v>
      </c>
    </row>
    <row r="474" spans="1:6" ht="86.25" customHeight="1" x14ac:dyDescent="0.2">
      <c r="A474" s="4" t="str">
        <f ca="1">IFERROR(__xludf.DUMMYFUNCTION("""COMPUTED_VALUE"""),"«АСТОР: Ваш магазин 7 SE»")</f>
        <v>«АСТОР: Ваш магазин 7 SE»</v>
      </c>
      <c r="B474" s="4" t="str">
        <f ca="1">IFERROR(__xludf.DUMMYFUNCTION("""COMPUTED_VALUE"""),"БАЗОВЫЙ")</f>
        <v>БАЗОВЫЙ</v>
      </c>
      <c r="C474" s="4" t="str">
        <f ca="1">IFERROR(__xludf.DUMMYFUNCTION("""COMPUTED_VALUE"""),"RTL15A-ASTORYM7SE")</f>
        <v>RTL15A-ASTORYM7SE</v>
      </c>
      <c r="D474" s="4" t="str">
        <f ca="1">IFERROR(__xludf.DUMMYFUNCTION("""COMPUTED_VALUE"""),"Mobile SMARTS: Магазин 15, БАЗОВЫЙ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"&amp;"на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опера"&amp;"ций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4" s="4" t="str">
        <f ca="1">IFERROR(__xludf.DUMMYFUNCTION("""COMPUTED_VALUE"""),"Mobile SMARTS: Магазин 15, БАЗОВЫЙ для «АСТОР: Ваш магазин 7 SE», для работы с товаром по штрихкодам ")</f>
        <v xml:space="preserve">Mobile SMARTS: Магазин 15, БАЗОВЫЙ для «АСТОР: Ваш магазин 7 SE», для работы с товаром по штрихкодам </v>
      </c>
      <c r="F474" s="5">
        <f ca="1">IFERROR(__xludf.DUMMYFUNCTION("""COMPUTED_VALUE"""),8650)</f>
        <v>8650</v>
      </c>
    </row>
    <row r="475" spans="1:6" ht="86.25" customHeight="1" x14ac:dyDescent="0.2">
      <c r="A475" s="4" t="str">
        <f ca="1">IFERROR(__xludf.DUMMYFUNCTION("""COMPUTED_VALUE"""),"«АСТОР: Ваш магазин 7 SE»")</f>
        <v>«АСТОР: Ваш магазин 7 SE»</v>
      </c>
      <c r="B475" s="4" t="str">
        <f ca="1">IFERROR(__xludf.DUMMYFUNCTION("""COMPUTED_VALUE"""),"РАСШИРЕННЫЙ")</f>
        <v>РАСШИРЕННЫЙ</v>
      </c>
      <c r="C475" s="4" t="str">
        <f ca="1">IFERROR(__xludf.DUMMYFUNCTION("""COMPUTED_VALUE"""),"RTL15B-ASTORYM7SE")</f>
        <v>RTL15B-ASTORYM7SE</v>
      </c>
      <c r="D475" s="4" t="str">
        <f ca="1">IFERROR(__xludf.DUMMYFUNCTION("""COMPUTED_VALUE"""),"Mobile SMARTS: Магазин 15, РАСШИРЕННЫЙ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печа"&amp;"тью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о"&amp;"пераций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5" s="4" t="str">
        <f ca="1">IFERROR(__xludf.DUMMYFUNCTION("""COMPUTED_VALUE"""),"Mobile SMARTS: Магазин 15, РАСШИРЕННЫЙ для «АСТОР: Ваш магазин 7 SE», для работы с товаром по штрихкодам ")</f>
        <v xml:space="preserve">Mobile SMARTS: Магазин 15, РАСШИРЕННЫЙ для «АСТОР: Ваш магазин 7 SE», для работы с товаром по штрихкодам </v>
      </c>
      <c r="F475" s="5">
        <f ca="1">IFERROR(__xludf.DUMMYFUNCTION("""COMPUTED_VALUE"""),15050)</f>
        <v>15050</v>
      </c>
    </row>
    <row r="476" spans="1:6" ht="86.25" customHeight="1" x14ac:dyDescent="0.2">
      <c r="A476" s="4" t="str">
        <f ca="1">IFERROR(__xludf.DUMMYFUNCTION("""COMPUTED_VALUE"""),"«АСТОР: Ваш магазин 7 SE»")</f>
        <v>«АСТОР: Ваш магазин 7 SE»</v>
      </c>
      <c r="B476" s="4" t="str">
        <f ca="1">IFERROR(__xludf.DUMMYFUNCTION("""COMPUTED_VALUE"""),"МЕГАМАРКЕТ")</f>
        <v>МЕГАМАРКЕТ</v>
      </c>
      <c r="C476" s="4" t="str">
        <f ca="1">IFERROR(__xludf.DUMMYFUNCTION("""COMPUTED_VALUE"""),"RTL15C-ASTORYM7SE")</f>
        <v>RTL15C-ASTORYM7SE</v>
      </c>
      <c r="D476" s="4" t="str">
        <f ca="1">IFERROR(__xludf.DUMMYFUNCTION("""COMPUTED_VALUE"""),"Mobile SMARTS: Магазин 15, МЕГАМАРКЕТ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печат"&amp;"ью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6" s="4" t="str">
        <f ca="1">IFERROR(__xludf.DUMMYFUNCTION("""COMPUTED_VALUE"""),"Mobile SMARTS: Магазин 15, МЕГАМАРКЕТ для «АСТОР: Ваш магазин 7 SE», для работы с товаром по штрихкодам ")</f>
        <v xml:space="preserve">Mobile SMARTS: Магазин 15, МЕГАМАРКЕТ для «АСТОР: Ваш магазин 7 SE», для работы с товаром по штрихкодам </v>
      </c>
      <c r="F476" s="5">
        <f ca="1">IFERROR(__xludf.DUMMYFUNCTION("""COMPUTED_VALUE"""),21550)</f>
        <v>21550</v>
      </c>
    </row>
    <row r="477" spans="1:6" ht="86.25" customHeight="1" x14ac:dyDescent="0.2">
      <c r="A477" s="4" t="str">
        <f ca="1">IFERROR(__xludf.DUMMYFUNCTION("""COMPUTED_VALUE"""),"«АСТОР: Ваш магазин 7 SE»")</f>
        <v>«АСТОР: Ваш магазин 7 SE»</v>
      </c>
      <c r="B477" s="4" t="str">
        <f ca="1">IFERROR(__xludf.DUMMYFUNCTION("""COMPUTED_VALUE"""),"с ЕГАИС, БАЗОВЫЙ")</f>
        <v>с ЕГАИС, БАЗОВЫЙ</v>
      </c>
      <c r="C477" s="4" t="str">
        <f ca="1">IFERROR(__xludf.DUMMYFUNCTION("""COMPUTED_VALUE"""),"RTL15AE-ASTORYM7SE")</f>
        <v>RTL15AE-ASTORYM7SE</v>
      </c>
      <c r="D477" s="4" t="str">
        <f ca="1">IFERROR(__xludf.DUMMYFUNCTION("""COMPUTED_VALUE"""),"Mobile SMARTS: Магазин 15 с ЕГАИС, БАЗОВЫЙ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алкого"&amp;"ля,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тов"&amp;"аре,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77" s="4" t="str">
        <f ca="1">IFERROR(__xludf.DUMMYFUNCTION("""COMPUTED_VALUE"""),"Mobile SMARTS: Магазин 15 с ЕГАИС, БАЗОВЫЙ для «АСТОР: Ваш магазин 7 SE», для работы с маркированным товаром: алкоголь ЕГАИС и товары по штрихкодам ")</f>
        <v xml:space="preserve">Mobile SMARTS: Магазин 15 с ЕГАИС, БАЗОВЫЙ для «АСТОР: Ваш магазин 7 SE», для работы с маркированным товаром: алкоголь ЕГАИС и товары по штрихкодам </v>
      </c>
      <c r="F477" s="5">
        <f ca="1">IFERROR(__xludf.DUMMYFUNCTION("""COMPUTED_VALUE"""),11000)</f>
        <v>11000</v>
      </c>
    </row>
    <row r="478" spans="1:6" ht="86.25" customHeight="1" x14ac:dyDescent="0.2">
      <c r="A478" s="4" t="str">
        <f ca="1">IFERROR(__xludf.DUMMYFUNCTION("""COMPUTED_VALUE"""),"«АСТОР: Ваш магазин 7 SE»")</f>
        <v>«АСТОР: Ваш магазин 7 SE»</v>
      </c>
      <c r="B478" s="4" t="str">
        <f ca="1">IFERROR(__xludf.DUMMYFUNCTION("""COMPUTED_VALUE"""),"с ЕГАИС, РАСШИРЕННЫЙ")</f>
        <v>с ЕГАИС, РАСШИРЕННЫЙ</v>
      </c>
      <c r="C478" s="4" t="str">
        <f ca="1">IFERROR(__xludf.DUMMYFUNCTION("""COMPUTED_VALUE"""),"RTL15BE-ASTORYM7SE")</f>
        <v>RTL15BE-ASTORYM7SE</v>
      </c>
      <c r="D478" s="4" t="str">
        <f ca="1">IFERROR(__xludf.DUMMYFUNCTION("""COMPUTED_VALUE"""),"Mobile SMARTS: Магазин 15 с ЕГАИС, РАСШИРЕННЫЙ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ал"&amp;"коголя,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о"&amp;"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8" s="4" t="str">
        <f ca="1">IFERROR(__xludf.DUMMYFUNCTION("""COMPUTED_VALUE"""),"Mobile SMARTS: Магазин 15 с ЕГАИС, РАСШИРЕННЫЙ для «АСТОР: Ваш магазин 7 SE», для работы с маркированным товаром: алкоголь ЕГАИС и товары по штрихкодам ")</f>
        <v xml:space="preserve">Mobile SMARTS: Магазин 15 с ЕГАИС, РАСШИРЕННЫЙ для «АСТОР: Ваш магазин 7 SE», для работы с маркированным товаром: алкоголь ЕГАИС и товары по штрихкодам </v>
      </c>
      <c r="F478" s="5">
        <f ca="1">IFERROR(__xludf.DUMMYFUNCTION("""COMPUTED_VALUE"""),17450)</f>
        <v>17450</v>
      </c>
    </row>
    <row r="479" spans="1:6" ht="86.25" customHeight="1" x14ac:dyDescent="0.2">
      <c r="A479" s="4" t="str">
        <f ca="1">IFERROR(__xludf.DUMMYFUNCTION("""COMPUTED_VALUE"""),"«АСТОР: Ваш магазин 7 SE»")</f>
        <v>«АСТОР: Ваш магазин 7 SE»</v>
      </c>
      <c r="B479" s="4" t="str">
        <f ca="1">IFERROR(__xludf.DUMMYFUNCTION("""COMPUTED_VALUE"""),"с ЕГАИС (без CheckMark2), МЕГАМАРКЕТ")</f>
        <v>с ЕГАИС (без CheckMark2), МЕГАМАРКЕТ</v>
      </c>
      <c r="C479" s="4" t="str">
        <f ca="1">IFERROR(__xludf.DUMMYFUNCTION("""COMPUTED_VALUE"""),"RTL15CEV-ASTORYM7SE")</f>
        <v>RTL15CEV-ASTORYM7SE</v>
      </c>
      <c r="D479" s="4" t="str">
        <f ca="1">IFERROR(__xludf.DUMMYFUNCTION("""COMPUTED_VALUE"""),"Mobile SMARTS: Магазин 15 с ЕГАИС (без CheckMark2), МЕГАМАРКЕТ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о"&amp;"перации: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печа"&amp;"ть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"&amp;"Интернет на 1 (один) год")</f>
        <v>Mobile SMARTS: Магазин 15 с ЕГАИС (без CheckMark2), МЕГАМАРКЕТ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9" s="4" t="str">
        <f ca="1">IFERROR(__xludf.DUMMYFUNCTION("""COMPUTED_VALUE"""),"Mobile SMARTS: Магазин 15 с ЕГАИС (без CheckMark2), МЕГАМАРКЕТ для «АСТОР: Ваш магазин 7 SE», для работы с маркированным товаром: алкоголь ЕГАИС и товары по штрихкодам ")</f>
        <v xml:space="preserve">Mobile SMARTS: Магазин 15 с ЕГАИС (без CheckMark2), МЕГАМАРКЕТ для «АСТОР: Ваш магазин 7 SE», для работы с маркированным товаром: алкоголь ЕГАИС и товары по штрихкодам </v>
      </c>
      <c r="F479" s="5">
        <f ca="1">IFERROR(__xludf.DUMMYFUNCTION("""COMPUTED_VALUE"""),23850)</f>
        <v>23850</v>
      </c>
    </row>
    <row r="480" spans="1:6" ht="86.25" customHeight="1" x14ac:dyDescent="0.2">
      <c r="A480" s="4" t="str">
        <f ca="1">IFERROR(__xludf.DUMMYFUNCTION("""COMPUTED_VALUE"""),"«АСТОР: Ваш магазин 7 SE»")</f>
        <v>«АСТОР: Ваш магазин 7 SE»</v>
      </c>
      <c r="B480" s="4" t="str">
        <f ca="1">IFERROR(__xludf.DUMMYFUNCTION("""COMPUTED_VALUE"""),"с МОТП, БАЗОВЫЙ")</f>
        <v>с МОТП, БАЗОВЫЙ</v>
      </c>
      <c r="C480" s="4" t="str">
        <f ca="1">IFERROR(__xludf.DUMMYFUNCTION("""COMPUTED_VALUE"""),"RTL15AT-ASTORYM7SE")</f>
        <v>RTL15AT-ASTORYM7SE</v>
      </c>
      <c r="D480" s="4" t="str">
        <f ca="1">IFERROR(__xludf.DUMMYFUNCTION("""COMPUTED_VALUE"""),"Mobile SMARTS: Магазин 15 с МОТП, БАЗОВЫЙ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п"&amp;"риемка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товаре,"&amp;"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0" s="4" t="str">
        <f ca="1">IFERROR(__xludf.DUMMYFUNCTION("""COMPUTED_VALUE"""),"Mobile SMARTS: Магазин 15 с МОТП, БАЗОВЫЙ для «АСТОР: Ваш магазин 7 SE», для работы с маркированным товаром: ТАБАК и товары по штрихкодам ")</f>
        <v xml:space="preserve">Mobile SMARTS: Магазин 15 с МОТП, БАЗОВЫЙ для «АСТОР: Ваш магазин 7 SE», для работы с маркированным товаром: ТАБАК и товары по штрихкодам </v>
      </c>
      <c r="F480" s="5">
        <f ca="1">IFERROR(__xludf.DUMMYFUNCTION("""COMPUTED_VALUE"""),11150)</f>
        <v>11150</v>
      </c>
    </row>
    <row r="481" spans="1:6" ht="86.25" customHeight="1" x14ac:dyDescent="0.2">
      <c r="A481" s="4" t="str">
        <f ca="1">IFERROR(__xludf.DUMMYFUNCTION("""COMPUTED_VALUE"""),"«АСТОР: Ваш магазин 7 SE»")</f>
        <v>«АСТОР: Ваш магазин 7 SE»</v>
      </c>
      <c r="B481" s="4" t="str">
        <f ca="1">IFERROR(__xludf.DUMMYFUNCTION("""COMPUTED_VALUE"""),"с МОТП, РАСШИРЕННЫЙ")</f>
        <v>с МОТП, РАСШИРЕННЫЙ</v>
      </c>
      <c r="C481" s="4" t="str">
        <f ca="1">IFERROR(__xludf.DUMMYFUNCTION("""COMPUTED_VALUE"""),"RTL15BT-ASTORYM7SE")</f>
        <v>RTL15BT-ASTORYM7SE</v>
      </c>
      <c r="D481" s="4" t="str">
        <f ca="1">IFERROR(__xludf.DUMMYFUNCTION("""COMPUTED_VALUE"""),"Mobile SMARTS: Магазин 15 с МОТП, РАСШИРЕННЫЙ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т."&amp;"ч.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тов"&amp;"аре,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1" s="4" t="str">
        <f ca="1">IFERROR(__xludf.DUMMYFUNCTION("""COMPUTED_VALUE"""),"Mobile SMARTS: Магазин 15 с МОТП, РАСШИРЕННЫЙ для «АСТОР: Ваш магазин 7 SE», для работы с маркированным товаром: ТАБАК и товары по штрихкодам ")</f>
        <v xml:space="preserve">Mobile SMARTS: Магазин 15 с МОТП, РАСШИРЕННЫЙ для «АСТОР: Ваш магазин 7 SE», для работы с маркированным товаром: ТАБАК и товары по штрихкодам </v>
      </c>
      <c r="F481" s="5">
        <f ca="1">IFERROR(__xludf.DUMMYFUNCTION("""COMPUTED_VALUE"""),17450)</f>
        <v>17450</v>
      </c>
    </row>
    <row r="482" spans="1:6" ht="86.25" customHeight="1" x14ac:dyDescent="0.2">
      <c r="A482" s="4" t="str">
        <f ca="1">IFERROR(__xludf.DUMMYFUNCTION("""COMPUTED_VALUE"""),"«АСТОР: Ваш магазин 7 SE»")</f>
        <v>«АСТОР: Ваш магазин 7 SE»</v>
      </c>
      <c r="B482" s="4" t="str">
        <f ca="1">IFERROR(__xludf.DUMMYFUNCTION("""COMPUTED_VALUE"""),"с МОТП, МЕГАМАРКЕТ")</f>
        <v>с МОТП, МЕГАМАРКЕТ</v>
      </c>
      <c r="C482" s="4" t="str">
        <f ca="1">IFERROR(__xludf.DUMMYFUNCTION("""COMPUTED_VALUE"""),"RTL15CT-ASTORYM7SE")</f>
        <v>RTL15CT-ASTORYM7SE</v>
      </c>
      <c r="D482" s="4" t="str">
        <f ca="1">IFERROR(__xludf.DUMMYFUNCTION("""COMPUTED_VALUE"""),"Mobile SMARTS: Магазин 15 с МОТП, МЕГАМАРКЕТ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т.ч"&amp;".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рабо"&amp;"та,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Mobile SMARTS: Магазин 15 с МОТП, МЕГАМАРКЕТ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2" s="4" t="str">
        <f ca="1">IFERROR(__xludf.DUMMYFUNCTION("""COMPUTED_VALUE"""),"Mobile SMARTS: Магазин 15 с МОТП, МЕГАМАРКЕТ для «АСТОР: Ваш магазин 7 SE», для работы с маркированным товаром: ТАБАК и товары по штрихкодам ")</f>
        <v xml:space="preserve">Mobile SMARTS: Магазин 15 с МОТП, МЕГАМАРКЕТ для «АСТОР: Ваш магазин 7 SE», для работы с маркированным товаром: ТАБАК и товары по штрихкодам </v>
      </c>
      <c r="F482" s="5">
        <f ca="1">IFERROR(__xludf.DUMMYFUNCTION("""COMPUTED_VALUE"""),23850)</f>
        <v>23850</v>
      </c>
    </row>
    <row r="483" spans="1:6" ht="86.25" customHeight="1" x14ac:dyDescent="0.2">
      <c r="A483" s="4" t="str">
        <f ca="1">IFERROR(__xludf.DUMMYFUNCTION("""COMPUTED_VALUE"""),"«АСТОР: Ваш магазин 7 SE»")</f>
        <v>«АСТОР: Ваш магазин 7 SE»</v>
      </c>
      <c r="B483" s="4" t="str">
        <f ca="1">IFERROR(__xludf.DUMMYFUNCTION("""COMPUTED_VALUE"""),"с ЕГАИС и МОТП, БАЗОВЫЙ")</f>
        <v>с ЕГАИС и МОТП, БАЗОВЫЙ</v>
      </c>
      <c r="C483" s="4" t="str">
        <f ca="1">IFERROR(__xludf.DUMMYFUNCTION("""COMPUTED_VALUE"""),"RTL15AET-ASTORYM7SE")</f>
        <v>RTL15AET-ASTORYM7SE</v>
      </c>
      <c r="D483" s="4" t="str">
        <f ca="1">IFERROR(__xludf.DUMMYFUNCTION("""COMPUTED_VALUE"""),"Mobile SMARTS: Магазин 15 с ЕГАИС и МОТП, БАЗОВЫЙ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сбо"&amp;"р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штрихкодов,"&amp;"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возможнос"&amp;"ть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3" s="4" t="str">
        <f ca="1">IFERROR(__xludf.DUMMYFUNCTION("""COMPUTED_VALUE"""),"Mobile SMARTS: Магазин 15 с ЕГАИС и МОТП, БАЗОВЫЙ для «АСТОР: Ваш магазин 7 SE», для работы с маркированным товаром: АЛКОГОЛЬ, ТАБАК и товары по штрихкодам ")</f>
        <v xml:space="preserve">Mobile SMARTS: Магазин 15 с ЕГАИС и МОТП, БАЗОВЫЙ для «АСТОР: Ваш магазин 7 SE», для работы с маркированным товаром: АЛКОГОЛЬ, ТАБАК и товары по штрихкодам </v>
      </c>
      <c r="F483" s="5">
        <f ca="1">IFERROR(__xludf.DUMMYFUNCTION("""COMPUTED_VALUE"""),12150)</f>
        <v>12150</v>
      </c>
    </row>
    <row r="484" spans="1:6" ht="86.25" customHeight="1" x14ac:dyDescent="0.2">
      <c r="A484" s="4" t="str">
        <f ca="1">IFERROR(__xludf.DUMMYFUNCTION("""COMPUTED_VALUE"""),"«АСТОР: Ваш магазин 7 SE»")</f>
        <v>«АСТОР: Ваш магазин 7 SE»</v>
      </c>
      <c r="B484" s="4" t="str">
        <f ca="1">IFERROR(__xludf.DUMMYFUNCTION("""COMPUTED_VALUE"""),"с ЕГАИС и МОТП, РАСШИРЕННЫЙ")</f>
        <v>с ЕГАИС и МОТП, РАСШИРЕННЫЙ</v>
      </c>
      <c r="C484" s="4" t="str">
        <f ca="1">IFERROR(__xludf.DUMMYFUNCTION("""COMPUTED_VALUE"""),"RTL15BET-ASTORYM7SE")</f>
        <v>RTL15BET-ASTORYM7SE</v>
      </c>
      <c r="D484" s="4" t="str">
        <f ca="1">IFERROR(__xludf.DUMMYFUNCTION("""COMPUTED_VALUE"""),"Mobile SMARTS: Магазин 15 с ЕГАИС и МОТП, РАСШИРЕННЫЙ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операции:"&amp;"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возмо"&amp;"жность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4" s="4" t="str">
        <f ca="1">IFERROR(__xludf.DUMMYFUNCTION("""COMPUTED_VALUE"""),"Mobile SMARTS: Магазин 15 с ЕГАИС и МОТП, РАСШИРЕННЫЙ для «АСТОР: Ваш магазин 7 SE», для работы с маркированным товаром: АЛКОГОЛЬ, ТАБАК и товары по штрихкодам ")</f>
        <v xml:space="preserve">Mobile SMARTS: Магазин 15 с ЕГАИС и МОТП, РАСШИРЕННЫЙ для «АСТОР: Ваш магазин 7 SE», для работы с маркированным товаром: АЛКОГОЛЬ, ТАБАК и товары по штрихкодам </v>
      </c>
      <c r="F484" s="5">
        <f ca="1">IFERROR(__xludf.DUMMYFUNCTION("""COMPUTED_VALUE"""),18550)</f>
        <v>18550</v>
      </c>
    </row>
    <row r="485" spans="1:6" ht="86.25" customHeight="1" x14ac:dyDescent="0.2">
      <c r="A485" s="4" t="str">
        <f ca="1">IFERROR(__xludf.DUMMYFUNCTION("""COMPUTED_VALUE"""),"«АСТОР: Ваш магазин 7 SE»")</f>
        <v>«АСТОР: Ваш магазин 7 SE»</v>
      </c>
      <c r="B485" s="4" t="str">
        <f ca="1">IFERROR(__xludf.DUMMYFUNCTION("""COMPUTED_VALUE"""),"с ЕГАИС и МОТП, МЕГАМАРКЕТ")</f>
        <v>с ЕГАИС и МОТП, МЕГАМАРКЕТ</v>
      </c>
      <c r="C485" s="4" t="str">
        <f ca="1">IFERROR(__xludf.DUMMYFUNCTION("""COMPUTED_VALUE"""),"RTL15CET-ASTORYM7SE")</f>
        <v>RTL15CET-ASTORYM7SE</v>
      </c>
      <c r="D485" s="4" t="str">
        <f ca="1">IFERROR(__xludf.DUMMYFUNCTION("""COMPUTED_VALUE"""),"Mobile SMARTS: Магазин 15 с ЕГАИС и МОТП, МЕГАМАРКЕТ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"&amp;"сбор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штрихкод"&amp;"ов,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5" s="4" t="str">
        <f ca="1">IFERROR(__xludf.DUMMYFUNCTION("""COMPUTED_VALUE"""),"Mobile SMARTS: Магазин 15 с ЕГАИС и МОТП, МЕГАМАРКЕТ для «АСТОР: Ваш магазин 7 SE», для работы с маркированным товаром: АЛКОГОЛЬ, ТАБАК и товары по штрихкодам ")</f>
        <v xml:space="preserve">Mobile SMARTS: Магазин 15 с ЕГАИС и МОТП, МЕГАМАРКЕТ для «АСТОР: Ваш магазин 7 SE», для работы с маркированным товаром: АЛКОГОЛЬ, ТАБАК и товары по штрихкодам </v>
      </c>
      <c r="F485" s="5">
        <f ca="1">IFERROR(__xludf.DUMMYFUNCTION("""COMPUTED_VALUE"""),26350)</f>
        <v>26350</v>
      </c>
    </row>
    <row r="486" spans="1:6" ht="86.25" customHeight="1" x14ac:dyDescent="0.2">
      <c r="A486" s="4" t="str">
        <f ca="1">IFERROR(__xludf.DUMMYFUNCTION("""COMPUTED_VALUE"""),"«АСТОР: Торговая Сеть 7 SE»")</f>
        <v>«АСТОР: Торговая Сеть 7 SE»</v>
      </c>
      <c r="B486" s="4" t="str">
        <f ca="1">IFERROR(__xludf.DUMMYFUNCTION("""COMPUTED_VALUE"""),"МИНИМУМ")</f>
        <v>МИНИМУМ</v>
      </c>
      <c r="C486" s="4" t="str">
        <f ca="1">IFERROR(__xludf.DUMMYFUNCTION("""COMPUTED_VALUE"""),"RTL15M-ASTORRNSE7")</f>
        <v>RTL15M-ASTORRNSE7</v>
      </c>
      <c r="D486" s="4" t="str">
        <f ca="1">IFERROR(__xludf.DUMMYFUNCTION("""COMPUTED_VALUE"""),"Mobile SMARTS: Магазин 15, МИНИМУМ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настр"&amp;"ойка,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86" s="4" t="str">
        <f ca="1">IFERROR(__xludf.DUMMYFUNCTION("""COMPUTED_VALUE"""),"Mobile SMARTS: Магазин 15, МИНИМУМ для «АСТОР: Торговая Сеть 7 SE», для работы с товаром по штрихкодам ")</f>
        <v xml:space="preserve">Mobile SMARTS: Магазин 15, МИНИМУМ для «АСТОР: Торговая Сеть 7 SE», для работы с товаром по штрихкодам </v>
      </c>
      <c r="F486" s="5">
        <f ca="1">IFERROR(__xludf.DUMMYFUNCTION("""COMPUTED_VALUE"""),3450)</f>
        <v>3450</v>
      </c>
    </row>
    <row r="487" spans="1:6" ht="86.25" customHeight="1" x14ac:dyDescent="0.2">
      <c r="A487" s="4" t="str">
        <f ca="1">IFERROR(__xludf.DUMMYFUNCTION("""COMPUTED_VALUE"""),"«АСТОР: Торговая Сеть 7 SE»")</f>
        <v>«АСТОР: Торговая Сеть 7 SE»</v>
      </c>
      <c r="B487" s="4" t="str">
        <f ca="1">IFERROR(__xludf.DUMMYFUNCTION("""COMPUTED_VALUE"""),"БАЗОВЫЙ")</f>
        <v>БАЗОВЫЙ</v>
      </c>
      <c r="C487" s="4" t="str">
        <f ca="1">IFERROR(__xludf.DUMMYFUNCTION("""COMPUTED_VALUE"""),"RTL15A-ASTORRNSE7")</f>
        <v>RTL15A-ASTORRNSE7</v>
      </c>
      <c r="D487" s="4" t="str">
        <f ca="1">IFERROR(__xludf.DUMMYFUNCTION("""COMPUTED_VALUE"""),"Mobile SMARTS: Магазин 15, БАЗОВЫЙ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печать"&amp;"ю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опе"&amp;"раций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7" s="4" t="str">
        <f ca="1">IFERROR(__xludf.DUMMYFUNCTION("""COMPUTED_VALUE"""),"Mobile SMARTS: Магазин 15, БАЗОВЫЙ для «АСТОР: Торговая Сеть 7 SE», для работы с товаром по штрихкодам ")</f>
        <v xml:space="preserve">Mobile SMARTS: Магазин 15, БАЗОВЫЙ для «АСТОР: Торговая Сеть 7 SE», для работы с товаром по штрихкодам </v>
      </c>
      <c r="F487" s="5">
        <f ca="1">IFERROR(__xludf.DUMMYFUNCTION("""COMPUTED_VALUE"""),8650)</f>
        <v>8650</v>
      </c>
    </row>
    <row r="488" spans="1:6" ht="86.25" customHeight="1" x14ac:dyDescent="0.2">
      <c r="A488" s="4" t="str">
        <f ca="1">IFERROR(__xludf.DUMMYFUNCTION("""COMPUTED_VALUE"""),"«АСТОР: Торговая Сеть 7 SE»")</f>
        <v>«АСТОР: Торговая Сеть 7 SE»</v>
      </c>
      <c r="B488" s="4" t="str">
        <f ca="1">IFERROR(__xludf.DUMMYFUNCTION("""COMPUTED_VALUE"""),"РАСШИРЕННЫЙ")</f>
        <v>РАСШИРЕННЫЙ</v>
      </c>
      <c r="C488" s="4" t="str">
        <f ca="1">IFERROR(__xludf.DUMMYFUNCTION("""COMPUTED_VALUE"""),"RTL15B-ASTORRNSE7")</f>
        <v>RTL15B-ASTORRNSE7</v>
      </c>
      <c r="D488" s="4" t="str">
        <f ca="1">IFERROR(__xludf.DUMMYFUNCTION("""COMPUTED_VALUE"""),"Mobile SMARTS: Магазин 15, РАСШИРЕННЫЙ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8" s="4" t="str">
        <f ca="1">IFERROR(__xludf.DUMMYFUNCTION("""COMPUTED_VALUE"""),"Mobile SMARTS: Магазин 15, РАСШИРЕННЫЙ для «АСТОР: Торговая Сеть 7 SE», для работы с товаром по штрихкодам ")</f>
        <v xml:space="preserve">Mobile SMARTS: Магазин 15, РАСШИРЕННЫЙ для «АСТОР: Торговая Сеть 7 SE», для работы с товаром по штрихкодам </v>
      </c>
      <c r="F488" s="5">
        <f ca="1">IFERROR(__xludf.DUMMYFUNCTION("""COMPUTED_VALUE"""),15050)</f>
        <v>15050</v>
      </c>
    </row>
    <row r="489" spans="1:6" ht="86.25" customHeight="1" x14ac:dyDescent="0.2">
      <c r="A489" s="4" t="str">
        <f ca="1">IFERROR(__xludf.DUMMYFUNCTION("""COMPUTED_VALUE"""),"«АСТОР: Торговая Сеть 7 SE»")</f>
        <v>«АСТОР: Торговая Сеть 7 SE»</v>
      </c>
      <c r="B489" s="4" t="str">
        <f ca="1">IFERROR(__xludf.DUMMYFUNCTION("""COMPUTED_VALUE"""),"МЕГАМАРКЕТ")</f>
        <v>МЕГАМАРКЕТ</v>
      </c>
      <c r="C489" s="4" t="str">
        <f ca="1">IFERROR(__xludf.DUMMYFUNCTION("""COMPUTED_VALUE"""),"RTL15C-ASTORRNSE7")</f>
        <v>RTL15C-ASTORRNSE7</v>
      </c>
      <c r="D489" s="4" t="str">
        <f ca="1">IFERROR(__xludf.DUMMYFUNCTION("""COMPUTED_VALUE"""),"Mobile SMARTS: Магазин 15, МЕГАМАРКЕТ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печ"&amp;"атью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из"&amp;"менение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9" s="4" t="str">
        <f ca="1">IFERROR(__xludf.DUMMYFUNCTION("""COMPUTED_VALUE"""),"Mobile SMARTS: Магазин 15, МЕГАМАРКЕТ для «АСТОР: Торговая Сеть 7 SE», для работы с товаром по штрихкодам ")</f>
        <v xml:space="preserve">Mobile SMARTS: Магазин 15, МЕГАМАРКЕТ для «АСТОР: Торговая Сеть 7 SE», для работы с товаром по штрихкодам </v>
      </c>
      <c r="F489" s="5">
        <f ca="1">IFERROR(__xludf.DUMMYFUNCTION("""COMPUTED_VALUE"""),21550)</f>
        <v>21550</v>
      </c>
    </row>
    <row r="490" spans="1:6" ht="86.25" customHeight="1" x14ac:dyDescent="0.2">
      <c r="A490" s="4" t="str">
        <f ca="1">IFERROR(__xludf.DUMMYFUNCTION("""COMPUTED_VALUE"""),"«АСТОР: Торговая Сеть 7 SE»")</f>
        <v>«АСТОР: Торговая Сеть 7 SE»</v>
      </c>
      <c r="B490" s="4" t="str">
        <f ca="1">IFERROR(__xludf.DUMMYFUNCTION("""COMPUTED_VALUE"""),"с ЕГАИС, БАЗОВЫЙ")</f>
        <v>с ЕГАИС, БАЗОВЫЙ</v>
      </c>
      <c r="C490" s="4" t="str">
        <f ca="1">IFERROR(__xludf.DUMMYFUNCTION("""COMPUTED_VALUE"""),"RTL15AE-ASTORRNSE7")</f>
        <v>RTL15AE-ASTORRNSE7</v>
      </c>
      <c r="D490" s="4" t="str">
        <f ca="1">IFERROR(__xludf.DUMMYFUNCTION("""COMPUTED_VALUE"""),"Mobile SMARTS: Магазин 15 с ЕГАИС, БАЗОВЫЙ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алко"&amp;"голя,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т"&amp;"оваре,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90" s="4" t="str">
        <f ca="1">IFERROR(__xludf.DUMMYFUNCTION("""COMPUTED_VALUE"""),"Mobile SMARTS: Магазин 15 с ЕГАИС, БАЗОВЫЙ для «АСТОР: Торговая Сеть 7 SE», для работы с маркированным товаром: алкоголь ЕГАИС и товары по штрихкодам ")</f>
        <v xml:space="preserve">Mobile SMARTS: Магазин 15 с ЕГАИС, БАЗОВЫЙ для «АСТОР: Торговая Сеть 7 SE», для работы с маркированным товаром: алкоголь ЕГАИС и товары по штрихкодам </v>
      </c>
      <c r="F490" s="5">
        <f ca="1">IFERROR(__xludf.DUMMYFUNCTION("""COMPUTED_VALUE"""),11000)</f>
        <v>11000</v>
      </c>
    </row>
    <row r="491" spans="1:6" ht="86.25" customHeight="1" x14ac:dyDescent="0.2">
      <c r="A491" s="4" t="str">
        <f ca="1">IFERROR(__xludf.DUMMYFUNCTION("""COMPUTED_VALUE"""),"«АСТОР: Торговая Сеть 7 SE»")</f>
        <v>«АСТОР: Торговая Сеть 7 SE»</v>
      </c>
      <c r="B491" s="4" t="str">
        <f ca="1">IFERROR(__xludf.DUMMYFUNCTION("""COMPUTED_VALUE"""),"с ЕГАИС, РАСШИРЕННЫЙ")</f>
        <v>с ЕГАИС, РАСШИРЕННЫЙ</v>
      </c>
      <c r="C491" s="4" t="str">
        <f ca="1">IFERROR(__xludf.DUMMYFUNCTION("""COMPUTED_VALUE"""),"RTL15BE-ASTORRNSE7")</f>
        <v>RTL15BE-ASTORRNSE7</v>
      </c>
      <c r="D491" s="4" t="str">
        <f ca="1">IFERROR(__xludf.DUMMYFUNCTION("""COMPUTED_VALUE"""),"Mobile SMARTS: Магазин 15 с ЕГАИС, РАСШИРЕННЫЙ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"&amp;"алкоголя,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1" s="4" t="str">
        <f ca="1">IFERROR(__xludf.DUMMYFUNCTION("""COMPUTED_VALUE"""),"Mobile SMARTS: Магазин 15 с ЕГАИС, РАСШИРЕННЫЙ для «АСТОР: Торговая Сеть 7 SE», для работы с маркированным товаром: алкоголь ЕГАИС и товары по штрихкодам ")</f>
        <v xml:space="preserve">Mobile SMARTS: Магазин 15 с ЕГАИС, РАСШИРЕННЫЙ для «АСТОР: Торговая Сеть 7 SE», для работы с маркированным товаром: алкоголь ЕГАИС и товары по штрихкодам </v>
      </c>
      <c r="F491" s="5">
        <f ca="1">IFERROR(__xludf.DUMMYFUNCTION("""COMPUTED_VALUE"""),17450)</f>
        <v>17450</v>
      </c>
    </row>
    <row r="492" spans="1:6" ht="86.25" customHeight="1" x14ac:dyDescent="0.2">
      <c r="A492" s="4" t="str">
        <f ca="1">IFERROR(__xludf.DUMMYFUNCTION("""COMPUTED_VALUE"""),"«АСТОР: Торговая Сеть 7 SE»")</f>
        <v>«АСТОР: Торговая Сеть 7 SE»</v>
      </c>
      <c r="B492" s="4" t="str">
        <f ca="1">IFERROR(__xludf.DUMMYFUNCTION("""COMPUTED_VALUE"""),"с ЕГАИС (без CheckMark2), МЕГАМАРКЕТ")</f>
        <v>с ЕГАИС (без CheckMark2), МЕГАМАРКЕТ</v>
      </c>
      <c r="C492" s="4" t="str">
        <f ca="1">IFERROR(__xludf.DUMMYFUNCTION("""COMPUTED_VALUE"""),"RTL15CEV-ASTORRNSE7")</f>
        <v>RTL15CEV-ASTORRNSE7</v>
      </c>
      <c r="D492" s="4" t="str">
        <f ca="1">IFERROR(__xludf.DUMMYFUNCTION("""COMPUTED_VALUE"""),"Mobile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доступные"&amp;"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пе"&amp;"чать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2" s="4" t="str">
        <f ca="1">IFERROR(__xludf.DUMMYFUNCTION("""COMPUTED_VALUE"""),"Mobile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")</f>
        <v xml:space="preserve">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</v>
      </c>
      <c r="F492" s="5">
        <f ca="1">IFERROR(__xludf.DUMMYFUNCTION("""COMPUTED_VALUE"""),23850)</f>
        <v>23850</v>
      </c>
    </row>
    <row r="493" spans="1:6" ht="86.25" customHeight="1" x14ac:dyDescent="0.2">
      <c r="A493" s="4" t="str">
        <f ca="1">IFERROR(__xludf.DUMMYFUNCTION("""COMPUTED_VALUE"""),"«АСТОР: Торговая Сеть 7 SE»")</f>
        <v>«АСТОР: Торговая Сеть 7 SE»</v>
      </c>
      <c r="B493" s="4" t="str">
        <f ca="1">IFERROR(__xludf.DUMMYFUNCTION("""COMPUTED_VALUE"""),"с МОТП, БАЗОВЫЙ")</f>
        <v>с МОТП, БАЗОВЫЙ</v>
      </c>
      <c r="C493" s="4" t="str">
        <f ca="1">IFERROR(__xludf.DUMMYFUNCTION("""COMPUTED_VALUE"""),"RTL15AT-ASTORRNSE7")</f>
        <v>RTL15AT-ASTORRNSE7</v>
      </c>
      <c r="D493" s="4" t="str">
        <f ca="1">IFERROR(__xludf.DUMMYFUNCTION("""COMPUTED_VALUE"""),"Mobile SMARTS: Магазин 15 с МОТП, БАЗОВЫЙ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т.ч."&amp;"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3" s="4" t="str">
        <f ca="1">IFERROR(__xludf.DUMMYFUNCTION("""COMPUTED_VALUE"""),"Mobile SMARTS: Магазин 15 с МОТП, БАЗОВЫЙ для «АСТОР: Торговая Сеть 7 SE», для работы с маркированным товаром: ТАБАК и товары по штрихкодам ")</f>
        <v xml:space="preserve">Mobile SMARTS: Магазин 15 с МОТП, БАЗОВЫЙ для «АСТОР: Торговая Сеть 7 SE», для работы с маркированным товаром: ТАБАК и товары по штрихкодам </v>
      </c>
      <c r="F493" s="5">
        <f ca="1">IFERROR(__xludf.DUMMYFUNCTION("""COMPUTED_VALUE"""),11150)</f>
        <v>11150</v>
      </c>
    </row>
    <row r="494" spans="1:6" ht="86.25" customHeight="1" x14ac:dyDescent="0.2">
      <c r="A494" s="4" t="str">
        <f ca="1">IFERROR(__xludf.DUMMYFUNCTION("""COMPUTED_VALUE"""),"«АСТОР: Торговая Сеть 7 SE»")</f>
        <v>«АСТОР: Торговая Сеть 7 SE»</v>
      </c>
      <c r="B494" s="4" t="str">
        <f ca="1">IFERROR(__xludf.DUMMYFUNCTION("""COMPUTED_VALUE"""),"с МОТП, РАСШИРЕННЫЙ")</f>
        <v>с МОТП, РАСШИРЕННЫЙ</v>
      </c>
      <c r="C494" s="4" t="str">
        <f ca="1">IFERROR(__xludf.DUMMYFUNCTION("""COMPUTED_VALUE"""),"RTL15BT-ASTORRNSE7")</f>
        <v>RTL15BT-ASTORRNSE7</v>
      </c>
      <c r="D494" s="4" t="str">
        <f ca="1">IFERROR(__xludf.DUMMYFUNCTION("""COMPUTED_VALUE"""),"Mobile SMARTS: Магазин 15 с МОТП, РАСШИРЕННЫЙ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"&amp;"т.ч.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4" s="4" t="str">
        <f ca="1">IFERROR(__xludf.DUMMYFUNCTION("""COMPUTED_VALUE"""),"Mobile SMARTS: Магазин 15 с МОТП, РАСШИРЕННЫЙ для «АСТОР: Торговая Сеть 7 SE», для работы с маркированным товаром: ТАБАК и товары по штрихкодам ")</f>
        <v xml:space="preserve">Mobile SMARTS: Магазин 15 с МОТП, РАСШИРЕННЫЙ для «АСТОР: Торговая Сеть 7 SE», для работы с маркированным товаром: ТАБАК и товары по штрихкодам </v>
      </c>
      <c r="F494" s="5">
        <f ca="1">IFERROR(__xludf.DUMMYFUNCTION("""COMPUTED_VALUE"""),17450)</f>
        <v>17450</v>
      </c>
    </row>
    <row r="495" spans="1:6" ht="86.25" customHeight="1" x14ac:dyDescent="0.2">
      <c r="A495" s="4" t="str">
        <f ca="1">IFERROR(__xludf.DUMMYFUNCTION("""COMPUTED_VALUE"""),"«АСТОР: Торговая Сеть 7 SE»")</f>
        <v>«АСТОР: Торговая Сеть 7 SE»</v>
      </c>
      <c r="B495" s="4" t="str">
        <f ca="1">IFERROR(__xludf.DUMMYFUNCTION("""COMPUTED_VALUE"""),"с МОТП, МЕГАМАРКЕТ")</f>
        <v>с МОТП, МЕГАМАРКЕТ</v>
      </c>
      <c r="C495" s="4" t="str">
        <f ca="1">IFERROR(__xludf.DUMMYFUNCTION("""COMPUTED_VALUE"""),"RTL15CT-ASTORRNSE7")</f>
        <v>RTL15CT-ASTORRNSE7</v>
      </c>
      <c r="D495" s="4" t="str">
        <f ca="1">IFERROR(__xludf.DUMMYFUNCTION("""COMPUTED_VALUE"""),"Mobile SMARTS: Магазин 15 с МОТП, МЕГАМАРКЕТ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т"&amp;".ч.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ра"&amp;"бота,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(оди"&amp;"н) год")</f>
        <v>Mobile SMARTS: Магазин 15 с МОТП, МЕГАМАРКЕТ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5" s="4" t="str">
        <f ca="1">IFERROR(__xludf.DUMMYFUNCTION("""COMPUTED_VALUE"""),"Mobile SMARTS: Магазин 15 с МОТП, МЕГАМАРКЕТ для «АСТОР: Торговая Сеть 7 SE», для работы с маркированным товаром: ТАБАК и товары по штрихкодам ")</f>
        <v xml:space="preserve">Mobile SMARTS: Магазин 15 с МОТП, МЕГАМАРКЕТ для «АСТОР: Торговая Сеть 7 SE», для работы с маркированным товаром: ТАБАК и товары по штрихкодам </v>
      </c>
      <c r="F495" s="5">
        <f ca="1">IFERROR(__xludf.DUMMYFUNCTION("""COMPUTED_VALUE"""),23850)</f>
        <v>23850</v>
      </c>
    </row>
    <row r="496" spans="1:6" ht="86.25" customHeight="1" x14ac:dyDescent="0.2">
      <c r="A496" s="4" t="str">
        <f ca="1">IFERROR(__xludf.DUMMYFUNCTION("""COMPUTED_VALUE"""),"«АСТОР: Торговая Сеть 7 SE»")</f>
        <v>«АСТОР: Торговая Сеть 7 SE»</v>
      </c>
      <c r="B496" s="4" t="str">
        <f ca="1">IFERROR(__xludf.DUMMYFUNCTION("""COMPUTED_VALUE"""),"с ЕГАИС и МОТП, БАЗОВЫЙ")</f>
        <v>с ЕГАИС и МОТП, БАЗОВЫЙ</v>
      </c>
      <c r="C496" s="4" t="str">
        <f ca="1">IFERROR(__xludf.DUMMYFUNCTION("""COMPUTED_VALUE"""),"RTL15AET-ASTORRNSE7")</f>
        <v>RTL15AET-ASTORRNSE7</v>
      </c>
      <c r="D496" s="4" t="str">
        <f ca="1">IFERROR(__xludf.DUMMYFUNCTION("""COMPUTED_VALUE"""),"Mobile SMARTS: Магазин 15 с ЕГАИС и МОТП, БАЗОВЫЙ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с"&amp;"бор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штрихкодо"&amp;"в,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возможн"&amp;"ость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6" s="4" t="str">
        <f ca="1">IFERROR(__xludf.DUMMYFUNCTION("""COMPUTED_VALUE"""),"Mobile SMARTS: Магазин 15 с ЕГАИС и МОТП, БАЗОВЫЙ для «АСТОР: Торговая Сеть 7 SE», для работы с маркированным товаром: АЛКОГОЛЬ, ТАБАК и товары по штрихкодам ")</f>
        <v xml:space="preserve">Mobile SMARTS: Магазин 15 с ЕГАИС и МОТП, БАЗОВЫЙ для «АСТОР: Торговая Сеть 7 SE», для работы с маркированным товаром: АЛКОГОЛЬ, ТАБАК и товары по штрихкодам </v>
      </c>
      <c r="F496" s="5">
        <f ca="1">IFERROR(__xludf.DUMMYFUNCTION("""COMPUTED_VALUE"""),12150)</f>
        <v>12150</v>
      </c>
    </row>
    <row r="497" spans="1:6" ht="86.25" customHeight="1" x14ac:dyDescent="0.2">
      <c r="A497" s="4" t="str">
        <f ca="1">IFERROR(__xludf.DUMMYFUNCTION("""COMPUTED_VALUE"""),"«АСТОР: Торговая Сеть 7 SE»")</f>
        <v>«АСТОР: Торговая Сеть 7 SE»</v>
      </c>
      <c r="B497" s="4" t="str">
        <f ca="1">IFERROR(__xludf.DUMMYFUNCTION("""COMPUTED_VALUE"""),"с ЕГАИС и МОТП, РАСШИРЕННЫЙ")</f>
        <v>с ЕГАИС и МОТП, РАСШИРЕННЫЙ</v>
      </c>
      <c r="C497" s="4" t="str">
        <f ca="1">IFERROR(__xludf.DUMMYFUNCTION("""COMPUTED_VALUE"""),"RTL15BET-ASTORRNSE7")</f>
        <v>RTL15BET-ASTORRNSE7</v>
      </c>
      <c r="D497" s="4" t="str">
        <f ca="1">IFERROR(__xludf.DUMMYFUNCTION("""COMPUTED_VALUE"""),"Mobile SMARTS: Магазин 15 с ЕГАИС и МОТП, РАСШИРЕННЫЙ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операци"&amp;"и: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штрих"&amp;"кодов,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воз"&amp;"можность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7" s="4" t="str">
        <f ca="1">IFERROR(__xludf.DUMMYFUNCTION("""COMPUTED_VALUE"""),"Mobile SMARTS: Магазин 15 с ЕГАИС и МОТП, РАСШИРЕННЫЙ для «АСТОР: Торговая Сеть 7 SE», для работы с маркированным товаром: АЛКОГОЛЬ, ТАБАК и товары по штрихкодам ")</f>
        <v xml:space="preserve">Mobile SMARTS: Магазин 15 с ЕГАИС и МОТП, РАСШИРЕННЫЙ для «АСТОР: Торговая Сеть 7 SE», для работы с маркированным товаром: АЛКОГОЛЬ, ТАБАК и товары по штрихкодам </v>
      </c>
      <c r="F497" s="5">
        <f ca="1">IFERROR(__xludf.DUMMYFUNCTION("""COMPUTED_VALUE"""),18550)</f>
        <v>18550</v>
      </c>
    </row>
    <row r="498" spans="1:6" ht="86.25" customHeight="1" x14ac:dyDescent="0.2">
      <c r="A498" s="4" t="str">
        <f ca="1">IFERROR(__xludf.DUMMYFUNCTION("""COMPUTED_VALUE"""),"«АСТОР: Торговая Сеть 7 SE»")</f>
        <v>«АСТОР: Торговая Сеть 7 SE»</v>
      </c>
      <c r="B498" s="4" t="str">
        <f ca="1">IFERROR(__xludf.DUMMYFUNCTION("""COMPUTED_VALUE"""),"с ЕГАИС и МОТП, МЕГАМАРКЕТ")</f>
        <v>с ЕГАИС и МОТП, МЕГАМАРКЕТ</v>
      </c>
      <c r="C498" s="4" t="str">
        <f ca="1">IFERROR(__xludf.DUMMYFUNCTION("""COMPUTED_VALUE"""),"RTL15CET-ASTORRNSE7")</f>
        <v>RTL15CET-ASTORRNSE7</v>
      </c>
      <c r="D498" s="4" t="str">
        <f ca="1">IFERROR(__xludf.DUMMYFUNCTION("""COMPUTED_VALUE"""),"Mobile SMARTS: Магазин 15 с ЕГАИС и МОТП, МЕГАМАРКЕТ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операции"&amp;":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штрихк"&amp;"одов,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существ"&amp;"ующих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8" s="4" t="str">
        <f ca="1">IFERROR(__xludf.DUMMYFUNCTION("""COMPUTED_VALUE"""),"Mobile SMARTS: Магазин 15 с ЕГАИС и МОТП, МЕГАМАРКЕТ для «АСТОР: Торговая Сеть 7 SE», для работы с маркированным товаром: АЛКОГОЛЬ, ТАБАК и товары по штрихкодам ")</f>
        <v xml:space="preserve">Mobile SMARTS: Магазин 15 с ЕГАИС и МОТП, МЕГАМАРКЕТ для «АСТОР: Торговая Сеть 7 SE», для работы с маркированным товаром: АЛКОГОЛЬ, ТАБАК и товары по штрихкодам </v>
      </c>
      <c r="F498" s="5">
        <f ca="1">IFERROR(__xludf.DUMMYFUNCTION("""COMPUTED_VALUE"""),26350)</f>
        <v>26350</v>
      </c>
    </row>
    <row r="499" spans="1:6" ht="86.25" customHeight="1" x14ac:dyDescent="0.2">
      <c r="A499" s="4" t="str">
        <f ca="1">IFERROR(__xludf.DUMMYFUNCTION("""COMPUTED_VALUE"""),"«АСТОР: Торговый дом 7 SP»")</f>
        <v>«АСТОР: Торговый дом 7 SP»</v>
      </c>
      <c r="B499" s="4" t="str">
        <f ca="1">IFERROR(__xludf.DUMMYFUNCTION("""COMPUTED_VALUE"""),"МИНИМУМ")</f>
        <v>МИНИМУМ</v>
      </c>
      <c r="C499" s="4" t="str">
        <f ca="1">IFERROR(__xludf.DUMMYFUNCTION("""COMPUTED_VALUE"""),"RTL15M-ASTORTH7SP")</f>
        <v>RTL15M-ASTORTH7SP</v>
      </c>
      <c r="D499" s="4" t="str">
        <f ca="1">IFERROR(__xludf.DUMMYFUNCTION("""COMPUTED_VALUE"""),"Mobile SMARTS: Магазин 15, МИНИМУМ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настро"&amp;"йка,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99" s="4" t="str">
        <f ca="1">IFERROR(__xludf.DUMMYFUNCTION("""COMPUTED_VALUE"""),"Mobile SMARTS: Магазин 15, МИНИМУМ для «АСТОР: Торговый дом 7 SP», для работы с товаром по штрихкодам ")</f>
        <v xml:space="preserve">Mobile SMARTS: Магазин 15, МИНИМУМ для «АСТОР: Торговый дом 7 SP», для работы с товаром по штрихкодам </v>
      </c>
      <c r="F499" s="5">
        <f ca="1">IFERROR(__xludf.DUMMYFUNCTION("""COMPUTED_VALUE"""),3450)</f>
        <v>3450</v>
      </c>
    </row>
    <row r="500" spans="1:6" ht="86.25" customHeight="1" x14ac:dyDescent="0.2">
      <c r="A500" s="4" t="str">
        <f ca="1">IFERROR(__xludf.DUMMYFUNCTION("""COMPUTED_VALUE"""),"«АСТОР: Торговый дом 7 SP»")</f>
        <v>«АСТОР: Торговый дом 7 SP»</v>
      </c>
      <c r="B500" s="4" t="str">
        <f ca="1">IFERROR(__xludf.DUMMYFUNCTION("""COMPUTED_VALUE"""),"БАЗОВЫЙ")</f>
        <v>БАЗОВЫЙ</v>
      </c>
      <c r="C500" s="4" t="str">
        <f ca="1">IFERROR(__xludf.DUMMYFUNCTION("""COMPUTED_VALUE"""),"RTL15A-ASTORTH7SP")</f>
        <v>RTL15A-ASTORTH7SP</v>
      </c>
      <c r="D500" s="4" t="str">
        <f ca="1">IFERROR(__xludf.DUMMYFUNCTION("""COMPUTED_VALUE"""),"Mobile SMARTS: Магазин 15, БАЗОВЫЙ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печатью"&amp;"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опер"&amp;"аций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0" s="4" t="str">
        <f ca="1">IFERROR(__xludf.DUMMYFUNCTION("""COMPUTED_VALUE"""),"Mobile SMARTS: Магазин 15, БАЗОВЫЙ для «АСТОР: Торговый дом 7 SP», для работы с товаром по штрихкодам ")</f>
        <v xml:space="preserve">Mobile SMARTS: Магазин 15, БАЗОВЫЙ для «АСТОР: Торговый дом 7 SP», для работы с товаром по штрихкодам </v>
      </c>
      <c r="F500" s="5">
        <f ca="1">IFERROR(__xludf.DUMMYFUNCTION("""COMPUTED_VALUE"""),8650)</f>
        <v>8650</v>
      </c>
    </row>
    <row r="501" spans="1:6" ht="86.25" customHeight="1" x14ac:dyDescent="0.2">
      <c r="A501" s="4" t="str">
        <f ca="1">IFERROR(__xludf.DUMMYFUNCTION("""COMPUTED_VALUE"""),"«АСТОР: Торговый дом 7 SP»")</f>
        <v>«АСТОР: Торговый дом 7 SP»</v>
      </c>
      <c r="B501" s="4" t="str">
        <f ca="1">IFERROR(__xludf.DUMMYFUNCTION("""COMPUTED_VALUE"""),"РАСШИРЕННЫЙ")</f>
        <v>РАСШИРЕННЫЙ</v>
      </c>
      <c r="C501" s="4" t="str">
        <f ca="1">IFERROR(__xludf.DUMMYFUNCTION("""COMPUTED_VALUE"""),"RTL15B-ASTORTH7SP")</f>
        <v>RTL15B-ASTORTH7SP</v>
      </c>
      <c r="D501" s="4" t="str">
        <f ca="1">IFERROR(__xludf.DUMMYFUNCTION("""COMPUTED_VALUE"""),"Mobile SMARTS: Магазин 15, РАСШИРЕННЫЙ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печ"&amp;"атью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"&amp;"операций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1" s="4" t="str">
        <f ca="1">IFERROR(__xludf.DUMMYFUNCTION("""COMPUTED_VALUE"""),"Mobile SMARTS: Магазин 15, РАСШИРЕННЫЙ для «АСТОР: Торговый дом 7 SP», для работы с товаром по штрихкодам ")</f>
        <v xml:space="preserve">Mobile SMARTS: Магазин 15, РАСШИРЕННЫЙ для «АСТОР: Торговый дом 7 SP», для работы с товаром по штрихкодам </v>
      </c>
      <c r="F501" s="5">
        <f ca="1">IFERROR(__xludf.DUMMYFUNCTION("""COMPUTED_VALUE"""),15050)</f>
        <v>15050</v>
      </c>
    </row>
    <row r="502" spans="1:6" ht="86.25" customHeight="1" x14ac:dyDescent="0.2">
      <c r="A502" s="4" t="str">
        <f ca="1">IFERROR(__xludf.DUMMYFUNCTION("""COMPUTED_VALUE"""),"«АСТОР: Торговый дом 7 SP»")</f>
        <v>«АСТОР: Торговый дом 7 SP»</v>
      </c>
      <c r="B502" s="4" t="str">
        <f ca="1">IFERROR(__xludf.DUMMYFUNCTION("""COMPUTED_VALUE"""),"МЕГАМАРКЕТ")</f>
        <v>МЕГАМАРКЕТ</v>
      </c>
      <c r="C502" s="4" t="str">
        <f ca="1">IFERROR(__xludf.DUMMYFUNCTION("""COMPUTED_VALUE"""),"RTL15C-ASTORTH7SP")</f>
        <v>RTL15C-ASTORTH7SP</v>
      </c>
      <c r="D502" s="4" t="str">
        <f ca="1">IFERROR(__xludf.DUMMYFUNCTION("""COMPUTED_VALUE"""),"Mobile SMARTS: Магазин 15, МЕГАМАРКЕТ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печа"&amp;"тью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2" s="4" t="str">
        <f ca="1">IFERROR(__xludf.DUMMYFUNCTION("""COMPUTED_VALUE"""),"Mobile SMARTS: Магазин 15, МЕГАМАРКЕТ для «АСТОР: Торговый дом 7 SP», для работы с товаром по штрихкодам ")</f>
        <v xml:space="preserve">Mobile SMARTS: Магазин 15, МЕГАМАРКЕТ для «АСТОР: Торговый дом 7 SP», для работы с товаром по штрихкодам </v>
      </c>
      <c r="F502" s="5">
        <f ca="1">IFERROR(__xludf.DUMMYFUNCTION("""COMPUTED_VALUE"""),21550)</f>
        <v>21550</v>
      </c>
    </row>
    <row r="503" spans="1:6" ht="86.25" customHeight="1" x14ac:dyDescent="0.2">
      <c r="A503" s="4" t="str">
        <f ca="1">IFERROR(__xludf.DUMMYFUNCTION("""COMPUTED_VALUE"""),"«АСТОР: Торговый дом 7 SP»")</f>
        <v>«АСТОР: Торговый дом 7 SP»</v>
      </c>
      <c r="B503" s="4" t="str">
        <f ca="1">IFERROR(__xludf.DUMMYFUNCTION("""COMPUTED_VALUE"""),"с ЕГАИС, БАЗОВЫЙ")</f>
        <v>с ЕГАИС, БАЗОВЫЙ</v>
      </c>
      <c r="C503" s="4" t="str">
        <f ca="1">IFERROR(__xludf.DUMMYFUNCTION("""COMPUTED_VALUE"""),"RTL15AE-ASTORTH7SP")</f>
        <v>RTL15AE-ASTORTH7SP</v>
      </c>
      <c r="D503" s="4" t="str">
        <f ca="1">IFERROR(__xludf.DUMMYFUNCTION("""COMPUTED_VALUE"""),"Mobile SMARTS: Магазин 15 с ЕГАИС, БАЗОВЫЙ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алког"&amp;"оля,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то"&amp;"варе,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03" s="4" t="str">
        <f ca="1">IFERROR(__xludf.DUMMYFUNCTION("""COMPUTED_VALUE"""),"Mobile SMARTS: Магазин 15 с ЕГАИС, БАЗОВЫЙ для «АСТОР: Торговый дом 7 SP», для работы с маркированным товаром: алкоголь ЕГАИС и товары по штрихкодам ")</f>
        <v xml:space="preserve">Mobile SMARTS: Магазин 15 с ЕГАИС, БАЗОВЫЙ для «АСТОР: Торговый дом 7 SP», для работы с маркированным товаром: алкоголь ЕГАИС и товары по штрихкодам </v>
      </c>
      <c r="F503" s="5">
        <f ca="1">IFERROR(__xludf.DUMMYFUNCTION("""COMPUTED_VALUE"""),11000)</f>
        <v>11000</v>
      </c>
    </row>
    <row r="504" spans="1:6" ht="86.25" customHeight="1" x14ac:dyDescent="0.2">
      <c r="A504" s="4" t="str">
        <f ca="1">IFERROR(__xludf.DUMMYFUNCTION("""COMPUTED_VALUE"""),"«АСТОР: Торговый дом 7 SP»")</f>
        <v>«АСТОР: Торговый дом 7 SP»</v>
      </c>
      <c r="B504" s="4" t="str">
        <f ca="1">IFERROR(__xludf.DUMMYFUNCTION("""COMPUTED_VALUE"""),"с ЕГАИС, РАСШИРЕННЫЙ")</f>
        <v>с ЕГАИС, РАСШИРЕННЫЙ</v>
      </c>
      <c r="C504" s="4" t="str">
        <f ca="1">IFERROR(__xludf.DUMMYFUNCTION("""COMPUTED_VALUE"""),"RTL15BE-ASTORTH7SP")</f>
        <v>RTL15BE-ASTORTH7SP</v>
      </c>
      <c r="D504" s="4" t="str">
        <f ca="1">IFERROR(__xludf.DUMMYFUNCTION("""COMPUTED_VALUE"""),"Mobile SMARTS: Магазин 15 с ЕГАИС, РАСШИРЕННЫЙ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а"&amp;"лкоголя,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"&amp;"о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РАСШИРЕННЫЙ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4" s="4" t="str">
        <f ca="1">IFERROR(__xludf.DUMMYFUNCTION("""COMPUTED_VALUE"""),"Mobile SMARTS: Магазин 15 с ЕГАИС, РАСШИРЕННЫЙ для «АСТОР: Торговый дом 7 SP», для работы с маркированным товаром: алкоголь ЕГАИС и товары по штрихкодам ")</f>
        <v xml:space="preserve">Mobile SMARTS: Магазин 15 с ЕГАИС, РАСШИРЕННЫЙ для «АСТОР: Торговый дом 7 SP», для работы с маркированным товаром: алкоголь ЕГАИС и товары по штрихкодам </v>
      </c>
      <c r="F504" s="5">
        <f ca="1">IFERROR(__xludf.DUMMYFUNCTION("""COMPUTED_VALUE"""),17450)</f>
        <v>17450</v>
      </c>
    </row>
    <row r="505" spans="1:6" ht="86.25" customHeight="1" x14ac:dyDescent="0.2">
      <c r="A505" s="4" t="str">
        <f ca="1">IFERROR(__xludf.DUMMYFUNCTION("""COMPUTED_VALUE"""),"«АСТОР: Торговый дом 7 SP»")</f>
        <v>«АСТОР: Торговый дом 7 SP»</v>
      </c>
      <c r="B505" s="4" t="str">
        <f ca="1">IFERROR(__xludf.DUMMYFUNCTION("""COMPUTED_VALUE"""),"с ЕГАИС (без CheckMark2), МЕГАМАРКЕТ")</f>
        <v>с ЕГАИС (без CheckMark2), МЕГАМАРКЕТ</v>
      </c>
      <c r="C505" s="4" t="str">
        <f ca="1">IFERROR(__xludf.DUMMYFUNCTION("""COMPUTED_VALUE"""),"RTL15CEV-ASTORTH7SP")</f>
        <v>RTL15CEV-ASTORTH7SP</v>
      </c>
      <c r="D505" s="4" t="str">
        <f ca="1">IFERROR(__xludf.DUMMYFUNCTION("""COMPUTED_VALUE"""),"Mobile SMARTS: Магазин 15 с ЕГАИС (без CheckMark2), МЕГАМАРКЕТ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печ"&amp;"ать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Mobile SMARTS: Магазин 15 с ЕГАИС (без CheckMark2), МЕГАМАРКЕТ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5" s="4" t="str">
        <f ca="1">IFERROR(__xludf.DUMMYFUNCTION("""COMPUTED_VALUE"""),"Mobile SMARTS: Магазин 15 с ЕГАИС (без CheckMark2), МЕГАМАРКЕТ для «АСТОР: Торговый дом 7 SP», для работы с маркированным товаром: алкоголь ЕГАИС и товары по штрихкодам ")</f>
        <v xml:space="preserve">Mobile SMARTS: Магазин 15 с ЕГАИС (без CheckMark2), МЕГАМАРКЕТ для «АСТОР: Торговый дом 7 SP», для работы с маркированным товаром: алкоголь ЕГАИС и товары по штрихкодам </v>
      </c>
      <c r="F505" s="5">
        <f ca="1">IFERROR(__xludf.DUMMYFUNCTION("""COMPUTED_VALUE"""),23850)</f>
        <v>23850</v>
      </c>
    </row>
    <row r="506" spans="1:6" ht="86.25" customHeight="1" x14ac:dyDescent="0.2">
      <c r="A506" s="4" t="str">
        <f ca="1">IFERROR(__xludf.DUMMYFUNCTION("""COMPUTED_VALUE"""),"«АСТОР: Торговый дом 7 SP»")</f>
        <v>«АСТОР: Торговый дом 7 SP»</v>
      </c>
      <c r="B506" s="4" t="str">
        <f ca="1">IFERROR(__xludf.DUMMYFUNCTION("""COMPUTED_VALUE"""),"с МОТП, БАЗОВЫЙ")</f>
        <v>с МОТП, БАЗОВЫЙ</v>
      </c>
      <c r="C506" s="4" t="str">
        <f ca="1">IFERROR(__xludf.DUMMYFUNCTION("""COMPUTED_VALUE"""),"RTL15AT-ASTORTH7SP")</f>
        <v>RTL15AT-ASTORTH7SP</v>
      </c>
      <c r="D506" s="4" t="str">
        <f ca="1">IFERROR(__xludf.DUMMYFUNCTION("""COMPUTED_VALUE"""),"Mobile SMARTS: Магазин 15 с МОТП, БАЗОВЫЙ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"&amp;"приемка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товаре"&amp;",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БАЗОВЫЙ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6" s="4" t="str">
        <f ca="1">IFERROR(__xludf.DUMMYFUNCTION("""COMPUTED_VALUE"""),"Mobile SMARTS: Магазин 15 с МОТП, БАЗОВЫЙ для «АСТОР: Торговый дом 7 SP», для работы с маркированным товаром: ТАБАК и товары по штрихкодам ")</f>
        <v xml:space="preserve">Mobile SMARTS: Магазин 15 с МОТП, БАЗОВЫЙ для «АСТОР: Торговый дом 7 SP», для работы с маркированным товаром: ТАБАК и товары по штрихкодам </v>
      </c>
      <c r="F506" s="5">
        <f ca="1">IFERROR(__xludf.DUMMYFUNCTION("""COMPUTED_VALUE"""),11150)</f>
        <v>11150</v>
      </c>
    </row>
    <row r="507" spans="1:6" ht="86.25" customHeight="1" x14ac:dyDescent="0.2">
      <c r="A507" s="4" t="str">
        <f ca="1">IFERROR(__xludf.DUMMYFUNCTION("""COMPUTED_VALUE"""),"«АСТОР: Торговый дом 7 SP»")</f>
        <v>«АСТОР: Торговый дом 7 SP»</v>
      </c>
      <c r="B507" s="4" t="str">
        <f ca="1">IFERROR(__xludf.DUMMYFUNCTION("""COMPUTED_VALUE"""),"с МОТП, РАСШИРЕННЫЙ")</f>
        <v>с МОТП, РАСШИРЕННЫЙ</v>
      </c>
      <c r="C507" s="4" t="str">
        <f ca="1">IFERROR(__xludf.DUMMYFUNCTION("""COMPUTED_VALUE"""),"RTL15BT-ASTORTH7SP")</f>
        <v>RTL15BT-ASTORTH7SP</v>
      </c>
      <c r="D507" s="4" t="str">
        <f ca="1">IFERROR(__xludf.DUMMYFUNCTION("""COMPUTED_VALUE"""),"Mobile SMARTS: Магазин 15 с МОТП, РАСШИРЕННЫЙ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т"&amp;".ч.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то"&amp;"варе,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МОТП, РАСШИРЕННЫЙ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7" s="4" t="str">
        <f ca="1">IFERROR(__xludf.DUMMYFUNCTION("""COMPUTED_VALUE"""),"Mobile SMARTS: Магазин 15 с МОТП, РАСШИРЕННЫЙ для «АСТОР: Торговый дом 7 SP», для работы с маркированным товаром: ТАБАК и товары по штрихкодам ")</f>
        <v xml:space="preserve">Mobile SMARTS: Магазин 15 с МОТП, РАСШИРЕННЫЙ для «АСТОР: Торговый дом 7 SP», для работы с маркированным товаром: ТАБАК и товары по штрихкодам </v>
      </c>
      <c r="F507" s="5">
        <f ca="1">IFERROR(__xludf.DUMMYFUNCTION("""COMPUTED_VALUE"""),17450)</f>
        <v>17450</v>
      </c>
    </row>
    <row r="508" spans="1:6" ht="86.25" customHeight="1" x14ac:dyDescent="0.2">
      <c r="A508" s="4" t="str">
        <f ca="1">IFERROR(__xludf.DUMMYFUNCTION("""COMPUTED_VALUE"""),"«АСТОР: Торговый дом 7 SP»")</f>
        <v>«АСТОР: Торговый дом 7 SP»</v>
      </c>
      <c r="B508" s="4" t="str">
        <f ca="1">IFERROR(__xludf.DUMMYFUNCTION("""COMPUTED_VALUE"""),"с МОТП, МЕГАМАРКЕТ")</f>
        <v>с МОТП, МЕГАМАРКЕТ</v>
      </c>
      <c r="C508" s="4" t="str">
        <f ca="1">IFERROR(__xludf.DUMMYFUNCTION("""COMPUTED_VALUE"""),"RTL15CT-ASTORTH7SP")</f>
        <v>RTL15CT-ASTORTH7SP</v>
      </c>
      <c r="D508" s="4" t="str">
        <f ca="1">IFERROR(__xludf.DUMMYFUNCTION("""COMPUTED_VALUE"""),"Mobile SMARTS: Магазин 15 с МОТП, МЕГАМАРКЕТ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т."&amp;"ч.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раб"&amp;"ота,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(один"&amp;") год")</f>
        <v>Mobile SMARTS: Магазин 15 с МОТП, МЕГАМАРКЕТ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8" s="4" t="str">
        <f ca="1">IFERROR(__xludf.DUMMYFUNCTION("""COMPUTED_VALUE"""),"Mobile SMARTS: Магазин 15 с МОТП, МЕГАМАРКЕТ для «АСТОР: Торговый дом 7 SP», для работы с маркированным товаром: ТАБАК и товары по штрихкодам ")</f>
        <v xml:space="preserve">Mobile SMARTS: Магазин 15 с МОТП, МЕГАМАРКЕТ для «АСТОР: Торговый дом 7 SP», для работы с маркированным товаром: ТАБАК и товары по штрихкодам </v>
      </c>
      <c r="F508" s="5">
        <f ca="1">IFERROR(__xludf.DUMMYFUNCTION("""COMPUTED_VALUE"""),23850)</f>
        <v>23850</v>
      </c>
    </row>
    <row r="509" spans="1:6" ht="86.25" customHeight="1" x14ac:dyDescent="0.2">
      <c r="A509" s="4" t="str">
        <f ca="1">IFERROR(__xludf.DUMMYFUNCTION("""COMPUTED_VALUE"""),"«АСТОР: Торговый дом 7 SP»")</f>
        <v>«АСТОР: Торговый дом 7 SP»</v>
      </c>
      <c r="B509" s="4" t="str">
        <f ca="1">IFERROR(__xludf.DUMMYFUNCTION("""COMPUTED_VALUE"""),"с ЕГАИС и МОТП, БАЗОВЫЙ")</f>
        <v>с ЕГАИС и МОТП, БАЗОВЫЙ</v>
      </c>
      <c r="C509" s="4" t="str">
        <f ca="1">IFERROR(__xludf.DUMMYFUNCTION("""COMPUTED_VALUE"""),"RTL15AET-ASTORTH7SP")</f>
        <v>RTL15AET-ASTORTH7SP</v>
      </c>
      <c r="D509" s="4" t="str">
        <f ca="1">IFERROR(__xludf.DUMMYFUNCTION("""COMPUTED_VALUE"""),"Mobile SMARTS: Магазин 15 с ЕГАИС и МОТП, БАЗОВЫЙ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сб"&amp;"ор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штрихкодов"&amp;",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возможно"&amp;"сть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9" s="4" t="str">
        <f ca="1">IFERROR(__xludf.DUMMYFUNCTION("""COMPUTED_VALUE"""),"Mobile SMARTS: Магазин 15 с ЕГАИС и МОТП, БАЗОВЫЙ для «АСТОР: Торговый дом 7 SP», для работы с маркированным товаром: АЛКОГОЛЬ, ТАБАК и товары по штрихкодам ")</f>
        <v xml:space="preserve">Mobile SMARTS: Магазин 15 с ЕГАИС и МОТП, БАЗОВЫЙ для «АСТОР: Торговый дом 7 SP», для работы с маркированным товаром: АЛКОГОЛЬ, ТАБАК и товары по штрихкодам </v>
      </c>
      <c r="F509" s="5">
        <f ca="1">IFERROR(__xludf.DUMMYFUNCTION("""COMPUTED_VALUE"""),12150)</f>
        <v>12150</v>
      </c>
    </row>
    <row r="510" spans="1:6" ht="86.25" customHeight="1" x14ac:dyDescent="0.2">
      <c r="A510" s="4" t="str">
        <f ca="1">IFERROR(__xludf.DUMMYFUNCTION("""COMPUTED_VALUE"""),"«АСТОР: Торговый дом 7 SP»")</f>
        <v>«АСТОР: Торговый дом 7 SP»</v>
      </c>
      <c r="B510" s="4" t="str">
        <f ca="1">IFERROR(__xludf.DUMMYFUNCTION("""COMPUTED_VALUE"""),"с ЕГАИС и МОТП, РАСШИРЕННЫЙ")</f>
        <v>с ЕГАИС и МОТП, РАСШИРЕННЫЙ</v>
      </c>
      <c r="C510" s="4" t="str">
        <f ca="1">IFERROR(__xludf.DUMMYFUNCTION("""COMPUTED_VALUE"""),"RTL15BET-ASTORTH7SP")</f>
        <v>RTL15BET-ASTORTH7SP</v>
      </c>
      <c r="D510" s="4" t="str">
        <f ca="1">IFERROR(__xludf.DUMMYFUNCTION("""COMPUTED_VALUE"""),"Mobile SMARTS: Магазин 15 с ЕГАИС и МОТП, РАСШИРЕННЫЙ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операции"&amp;":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штрихк"&amp;"одов,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возм"&amp;"ожность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0" s="4" t="str">
        <f ca="1">IFERROR(__xludf.DUMMYFUNCTION("""COMPUTED_VALUE"""),"Mobile SMARTS: Магазин 15 с ЕГАИС и МОТП, РАСШИРЕННЫЙ для «АСТОР: Торговый дом 7 SP», для работы с маркированным товаром: АЛКОГОЛЬ, ТАБАК и товары по штрихкодам ")</f>
        <v xml:space="preserve">Mobile SMARTS: Магазин 15 с ЕГАИС и МОТП, РАСШИРЕННЫЙ для «АСТОР: Торговый дом 7 SP», для работы с маркированным товаром: АЛКОГОЛЬ, ТАБАК и товары по штрихкодам </v>
      </c>
      <c r="F510" s="5">
        <f ca="1">IFERROR(__xludf.DUMMYFUNCTION("""COMPUTED_VALUE"""),18550)</f>
        <v>18550</v>
      </c>
    </row>
    <row r="511" spans="1:6" ht="86.25" customHeight="1" x14ac:dyDescent="0.2">
      <c r="A511" s="4" t="str">
        <f ca="1">IFERROR(__xludf.DUMMYFUNCTION("""COMPUTED_VALUE"""),"«АСТОР: Торговый дом 7 SP»")</f>
        <v>«АСТОР: Торговый дом 7 SP»</v>
      </c>
      <c r="B511" s="4" t="str">
        <f ca="1">IFERROR(__xludf.DUMMYFUNCTION("""COMPUTED_VALUE"""),"с ЕГАИС и МОТП, МЕГАМАРКЕТ")</f>
        <v>с ЕГАИС и МОТП, МЕГАМАРКЕТ</v>
      </c>
      <c r="C511" s="4" t="str">
        <f ca="1">IFERROR(__xludf.DUMMYFUNCTION("""COMPUTED_VALUE"""),"RTL15CET-ASTORTH7SP")</f>
        <v>RTL15CET-ASTORTH7SP</v>
      </c>
      <c r="D511" s="4" t="str">
        <f ca="1">IFERROR(__xludf.DUMMYFUNCTION("""COMPUTED_VALUE"""),"Mobile SMARTS: Магазин 15 с ЕГАИС и МОТП, МЕГАМАРКЕТ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операции:"&amp;"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1" s="4" t="str">
        <f ca="1">IFERROR(__xludf.DUMMYFUNCTION("""COMPUTED_VALUE"""),"Mobile SMARTS: Магазин 15 с ЕГАИС и МОТП, МЕГАМАРКЕТ для «АСТОР: Торговый дом 7 SP», для работы с маркированным товаром: АЛКОГОЛЬ, ТАБАК и товары по штрихкодам ")</f>
        <v xml:space="preserve">Mobile SMARTS: Магазин 15 с ЕГАИС и МОТП, МЕГАМАРКЕТ для «АСТОР: Торговый дом 7 SP», для работы с маркированным товаром: АЛКОГОЛЬ, ТАБАК и товары по штрихкодам </v>
      </c>
      <c r="F511" s="5">
        <f ca="1">IFERROR(__xludf.DUMMYFUNCTION("""COMPUTED_VALUE"""),26350)</f>
        <v>26350</v>
      </c>
    </row>
    <row r="512" spans="1:6" ht="86.25" customHeight="1" x14ac:dyDescent="0.2">
      <c r="A512" s="4" t="str">
        <f ca="1">IFERROR(__xludf.DUMMYFUNCTION("""COMPUTED_VALUE"""),"«АСТОР: Модный магазин 7 SE»")</f>
        <v>«АСТОР: Модный магазин 7 SE»</v>
      </c>
      <c r="B512" s="4" t="str">
        <f ca="1">IFERROR(__xludf.DUMMYFUNCTION("""COMPUTED_VALUE"""),"МИНИМУМ")</f>
        <v>МИНИМУМ</v>
      </c>
      <c r="C512" s="4" t="str">
        <f ca="1">IFERROR(__xludf.DUMMYFUNCTION("""COMPUTED_VALUE"""),"RTL15M-ASTORFS7SE")</f>
        <v>RTL15M-ASTORFS7SE</v>
      </c>
      <c r="D512" s="4" t="str">
        <f ca="1">IFERROR(__xludf.DUMMYFUNCTION("""COMPUTED_VALUE"""),"Mobile SMARTS: Магазин 15, МИНИМУМ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наст"&amp;"ройка,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12" s="4" t="str">
        <f ca="1">IFERROR(__xludf.DUMMYFUNCTION("""COMPUTED_VALUE"""),"Mobile SMARTS: Магазин 15, МИНИМУМ для «АСТОР: Модный магазин 7 SE», для работы с товаром по штрихкодам ")</f>
        <v xml:space="preserve">Mobile SMARTS: Магазин 15, МИНИМУМ для «АСТОР: Модный магазин 7 SE», для работы с товаром по штрихкодам </v>
      </c>
      <c r="F512" s="5">
        <f ca="1">IFERROR(__xludf.DUMMYFUNCTION("""COMPUTED_VALUE"""),3450)</f>
        <v>3450</v>
      </c>
    </row>
    <row r="513" spans="1:6" ht="86.25" customHeight="1" x14ac:dyDescent="0.2">
      <c r="A513" s="4" t="str">
        <f ca="1">IFERROR(__xludf.DUMMYFUNCTION("""COMPUTED_VALUE"""),"«АСТОР: Модный магазин 7 SE»")</f>
        <v>«АСТОР: Модный магазин 7 SE»</v>
      </c>
      <c r="B513" s="4" t="str">
        <f ca="1">IFERROR(__xludf.DUMMYFUNCTION("""COMPUTED_VALUE"""),"БАЗОВЫЙ")</f>
        <v>БАЗОВЫЙ</v>
      </c>
      <c r="C513" s="4" t="str">
        <f ca="1">IFERROR(__xludf.DUMMYFUNCTION("""COMPUTED_VALUE"""),"RTL15A-ASTORFS7SE")</f>
        <v>RTL15A-ASTORFS7SE</v>
      </c>
      <c r="D513" s="4" t="str">
        <f ca="1">IFERROR(__xludf.DUMMYFUNCTION("""COMPUTED_VALUE"""),"Mobile SMARTS: Магазин 15, БАЗОВЫЙ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печат"&amp;"ью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оп"&amp;"ераций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3" s="4" t="str">
        <f ca="1">IFERROR(__xludf.DUMMYFUNCTION("""COMPUTED_VALUE"""),"Mobile SMARTS: Магазин 15, БАЗОВЫЙ для «АСТОР: Модный магазин 7 SE», для работы с товаром по штрихкодам ")</f>
        <v xml:space="preserve">Mobile SMARTS: Магазин 15, БАЗОВЫЙ для «АСТОР: Модный магазин 7 SE», для работы с товаром по штрихкодам </v>
      </c>
      <c r="F513" s="5">
        <f ca="1">IFERROR(__xludf.DUMMYFUNCTION("""COMPUTED_VALUE"""),8650)</f>
        <v>8650</v>
      </c>
    </row>
    <row r="514" spans="1:6" ht="86.25" customHeight="1" x14ac:dyDescent="0.2">
      <c r="A514" s="4" t="str">
        <f ca="1">IFERROR(__xludf.DUMMYFUNCTION("""COMPUTED_VALUE"""),"«АСТОР: Модный магазин 7 SE»")</f>
        <v>«АСТОР: Модный магазин 7 SE»</v>
      </c>
      <c r="B514" s="4" t="str">
        <f ca="1">IFERROR(__xludf.DUMMYFUNCTION("""COMPUTED_VALUE"""),"РАСШИРЕННЫЙ")</f>
        <v>РАСШИРЕННЫЙ</v>
      </c>
      <c r="C514" s="4" t="str">
        <f ca="1">IFERROR(__xludf.DUMMYFUNCTION("""COMPUTED_VALUE"""),"RTL15B-ASTORFS7SE")</f>
        <v>RTL15B-ASTORFS7SE</v>
      </c>
      <c r="D514" s="4" t="str">
        <f ca="1">IFERROR(__xludf.DUMMYFUNCTION("""COMPUTED_VALUE"""),"Mobile SMARTS: Магазин 15, РАСШИРЕННЫЙ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п"&amp;"ечатью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существующи"&amp;"х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4" s="4" t="str">
        <f ca="1">IFERROR(__xludf.DUMMYFUNCTION("""COMPUTED_VALUE"""),"Mobile SMARTS: Магазин 15, РАСШИРЕННЫЙ для «АСТОР: Модный магазин 7 SE», для работы с товаром по штрихкодам ")</f>
        <v xml:space="preserve">Mobile SMARTS: Магазин 15, РАСШИРЕННЫЙ для «АСТОР: Модный магазин 7 SE», для работы с товаром по штрихкодам </v>
      </c>
      <c r="F514" s="5">
        <f ca="1">IFERROR(__xludf.DUMMYFUNCTION("""COMPUTED_VALUE"""),15050)</f>
        <v>15050</v>
      </c>
    </row>
    <row r="515" spans="1:6" ht="86.25" customHeight="1" x14ac:dyDescent="0.2">
      <c r="A515" s="4" t="str">
        <f ca="1">IFERROR(__xludf.DUMMYFUNCTION("""COMPUTED_VALUE"""),"«АСТОР: Модный магазин 7 SE»")</f>
        <v>«АСТОР: Модный магазин 7 SE»</v>
      </c>
      <c r="B515" s="4" t="str">
        <f ca="1">IFERROR(__xludf.DUMMYFUNCTION("""COMPUTED_VALUE"""),"МЕГАМАРКЕТ")</f>
        <v>МЕГАМАРКЕТ</v>
      </c>
      <c r="C515" s="4" t="str">
        <f ca="1">IFERROR(__xludf.DUMMYFUNCTION("""COMPUTED_VALUE"""),"RTL15C-ASTORFS7SE")</f>
        <v>RTL15C-ASTORFS7SE</v>
      </c>
      <c r="D515" s="4" t="str">
        <f ca="1">IFERROR(__xludf.DUMMYFUNCTION("""COMPUTED_VALUE"""),"Mobile SMARTS: Магазин 15, МЕГАМАРКЕТ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МЕГАМАРКЕТ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5" s="4" t="str">
        <f ca="1">IFERROR(__xludf.DUMMYFUNCTION("""COMPUTED_VALUE"""),"Mobile SMARTS: Магазин 15, МЕГАМАРКЕТ для «АСТОР: Модный магазин 7 SE», для работы с товаром по штрихкодам ")</f>
        <v xml:space="preserve">Mobile SMARTS: Магазин 15, МЕГАМАРКЕТ для «АСТОР: Модный магазин 7 SE», для работы с товаром по штрихкодам </v>
      </c>
      <c r="F515" s="5">
        <f ca="1">IFERROR(__xludf.DUMMYFUNCTION("""COMPUTED_VALUE"""),21550)</f>
        <v>21550</v>
      </c>
    </row>
    <row r="516" spans="1:6" ht="86.25" customHeight="1" x14ac:dyDescent="0.2">
      <c r="A516" s="4"/>
      <c r="B516" s="4"/>
      <c r="C516" s="4"/>
      <c r="D516" s="4" t="str">
        <f ca="1">IFERROR(__xludf.DUMMYFUNCTION("""COMPUTED_VALUE"""),"Лицензии для «Рарус» стандартные")</f>
        <v>Лицензии для «Рарус» стандартные</v>
      </c>
      <c r="E516" s="4" t="str">
        <f ca="1">IFERROR(__xludf.DUMMYFUNCTION("""COMPUTED_VALUE"""),"#VALUE!")</f>
        <v>#VALUE!</v>
      </c>
      <c r="F516" s="5" t="str">
        <f ca="1">IFERROR(__xludf.DUMMYFUNCTION("""COMPUTED_VALUE"""),"#N/A")</f>
        <v>#N/A</v>
      </c>
    </row>
    <row r="517" spans="1:6" ht="86.25" customHeight="1" x14ac:dyDescent="0.2">
      <c r="A517" s="4" t="str">
        <f ca="1">IFERROR(__xludf.DUMMYFUNCTION("""COMPUTED_VALUE"""),"«1С-Рарус: Торговый комплекс. Продовольственная сеть 8.1»")</f>
        <v>«1С-Рарус: Торговый комплекс. Продовольственная сеть 8.1»</v>
      </c>
      <c r="B517" s="4" t="str">
        <f ca="1">IFERROR(__xludf.DUMMYFUNCTION("""COMPUTED_VALUE"""),"МИНИМУМ")</f>
        <v>МИНИМУМ</v>
      </c>
      <c r="C517" s="4" t="str">
        <f ca="1">IFERROR(__xludf.DUMMYFUNCTION("""COMPUTED_VALUE"""),"RTL15M-TKTS")</f>
        <v>RTL15M-TKTS</v>
      </c>
      <c r="D517" s="4" t="str">
        <f ca="1">IFERROR(__xludf.DUMMYFUNCTION("""COMPUTED_VALUE"""),"Mobile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доступны"&amp;"е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17" s="4" t="str">
        <f ca="1">IFERROR(__xludf.DUMMYFUNCTION("""COMPUTED_VALUE"""),"Mobile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")</f>
        <v xml:space="preserve">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</v>
      </c>
      <c r="F517" s="5">
        <f ca="1">IFERROR(__xludf.DUMMYFUNCTION("""COMPUTED_VALUE"""),3450)</f>
        <v>3450</v>
      </c>
    </row>
    <row r="518" spans="1:6" ht="86.25" customHeight="1" x14ac:dyDescent="0.2">
      <c r="A518" s="4" t="str">
        <f ca="1">IFERROR(__xludf.DUMMYFUNCTION("""COMPUTED_VALUE"""),"«1С-Рарус: Торговый комплекс. Продовольственная сеть 8.1»")</f>
        <v>«1С-Рарус: Торговый комплекс. Продовольственная сеть 8.1»</v>
      </c>
      <c r="B518" s="4" t="str">
        <f ca="1">IFERROR(__xludf.DUMMYFUNCTION("""COMPUTED_VALUE"""),"БАЗОВЫЙ")</f>
        <v>БАЗОВЫЙ</v>
      </c>
      <c r="C518" s="4" t="str">
        <f ca="1">IFERROR(__xludf.DUMMYFUNCTION("""COMPUTED_VALUE"""),"RTL15A-TKTS")</f>
        <v>RTL15A-TKTS</v>
      </c>
      <c r="D518" s="4" t="str">
        <f ca="1">IFERROR(__xludf.DUMMYFUNCTION("""COMPUTED_VALUE"""),"Mobile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доступны"&amp;"е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 бессрочная л"&amp;"ицензия на 1 (одно) моб. устройство, подписка на обновления и обмен через Интернет на 1 (один) год")</f>
        <v>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18" s="4" t="str">
        <f ca="1">IFERROR(__xludf.DUMMYFUNCTION("""COMPUTED_VALUE"""),"Mobile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")</f>
        <v xml:space="preserve">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</v>
      </c>
      <c r="F518" s="5">
        <f ca="1">IFERROR(__xludf.DUMMYFUNCTION("""COMPUTED_VALUE"""),8650)</f>
        <v>8650</v>
      </c>
    </row>
    <row r="519" spans="1:6" ht="86.25" customHeight="1" x14ac:dyDescent="0.2">
      <c r="A519" s="4" t="str">
        <f ca="1">IFERROR(__xludf.DUMMYFUNCTION("""COMPUTED_VALUE"""),"«1С-Рарус: Торговый комплекс. Продовольственная сеть 8.1»")</f>
        <v>«1С-Рарус: Торговый комплекс. Продовольственная сеть 8.1»</v>
      </c>
      <c r="B519" s="4" t="str">
        <f ca="1">IFERROR(__xludf.DUMMYFUNCTION("""COMPUTED_VALUE"""),"с ЕГАИС, БАЗОВЫЙ")</f>
        <v>с ЕГАИС, БАЗОВЫЙ</v>
      </c>
      <c r="C519" s="4" t="str">
        <f ca="1">IFERROR(__xludf.DUMMYFUNCTION("""COMPUTED_VALUE"""),"RTL15AE-TKTS")</f>
        <v>RTL15AE-TKTS</v>
      </c>
      <c r="D519" s="4" t="str">
        <f ca="1">IFERROR(__xludf.DUMMYFUNCTION("""COMPUTED_VALUE"""),"Mobile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"&amp;"доступные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печать на мобильн"&amp;"ый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19" s="4" t="str">
        <f ca="1">IFERROR(__xludf.DUMMYFUNCTION("""COMPUTED_VALUE"""),"Mobile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")</f>
        <v xml:space="preserve">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</v>
      </c>
      <c r="F519" s="5">
        <f ca="1">IFERROR(__xludf.DUMMYFUNCTION("""COMPUTED_VALUE"""),15050)</f>
        <v>15050</v>
      </c>
    </row>
    <row r="520" spans="1:6" ht="86.25" customHeight="1" x14ac:dyDescent="0.2">
      <c r="A520" s="4" t="str">
        <f ca="1">IFERROR(__xludf.DUMMYFUNCTION("""COMPUTED_VALUE"""),"«1С-Рарус: Торговый комплекс. Продовольственные товары 8.1»")</f>
        <v>«1С-Рарус: Торговый комплекс. Продовольственные товары 8.1»</v>
      </c>
      <c r="B520" s="4" t="str">
        <f ca="1">IFERROR(__xludf.DUMMYFUNCTION("""COMPUTED_VALUE"""),"МИНИМУМ")</f>
        <v>МИНИМУМ</v>
      </c>
      <c r="C520" s="4" t="str">
        <f ca="1">IFERROR(__xludf.DUMMYFUNCTION("""COMPUTED_VALUE"""),"RTL15M-TKPT")</f>
        <v>RTL15M-TKPT</v>
      </c>
      <c r="D520" s="4" t="str">
        <f ca="1">IFERROR(__xludf.DUMMYFUNCTION("""COMPUTED_VALUE"""),"Mobile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доступ"&amp;"ные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0" s="4" t="str">
        <f ca="1">IFERROR(__xludf.DUMMYFUNCTION("""COMPUTED_VALUE"""),"Mobile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")</f>
        <v xml:space="preserve">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</v>
      </c>
      <c r="F520" s="5">
        <f ca="1">IFERROR(__xludf.DUMMYFUNCTION("""COMPUTED_VALUE"""),3450)</f>
        <v>3450</v>
      </c>
    </row>
    <row r="521" spans="1:6" ht="86.25" customHeight="1" x14ac:dyDescent="0.2">
      <c r="A521" s="4" t="str">
        <f ca="1">IFERROR(__xludf.DUMMYFUNCTION("""COMPUTED_VALUE"""),"«1С-Рарус: Торговый комплекс. Продовольственные товары 8.1»")</f>
        <v>«1С-Рарус: Торговый комплекс. Продовольственные товары 8.1»</v>
      </c>
      <c r="B521" s="4" t="str">
        <f ca="1">IFERROR(__xludf.DUMMYFUNCTION("""COMPUTED_VALUE"""),"БАЗОВЫЙ")</f>
        <v>БАЗОВЫЙ</v>
      </c>
      <c r="C521" s="4" t="str">
        <f ca="1">IFERROR(__xludf.DUMMYFUNCTION("""COMPUTED_VALUE"""),"RTL15A-TKPT")</f>
        <v>RTL15A-TKPT</v>
      </c>
      <c r="D521" s="4" t="str">
        <f ca="1">IFERROR(__xludf.DUMMYFUNCTION("""COMPUTED_VALUE"""),"Mobile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доступ"&amp;"ные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 бессрочная"&amp;" лицензия на 1 (одно) моб. устройство, подписка на обновления и обмен через Интернет на 1 (один) год")</f>
        <v>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1" s="4" t="str">
        <f ca="1">IFERROR(__xludf.DUMMYFUNCTION("""COMPUTED_VALUE"""),"Mobile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")</f>
        <v xml:space="preserve">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</v>
      </c>
      <c r="F521" s="5">
        <f ca="1">IFERROR(__xludf.DUMMYFUNCTION("""COMPUTED_VALUE"""),8650)</f>
        <v>8650</v>
      </c>
    </row>
    <row r="522" spans="1:6" ht="86.25" customHeight="1" x14ac:dyDescent="0.2">
      <c r="A522" s="4" t="str">
        <f ca="1">IFERROR(__xludf.DUMMYFUNCTION("""COMPUTED_VALUE"""),"«1С-Рарус: Торговый комплекс. Продовольственные товары 8.1»")</f>
        <v>«1С-Рарус: Торговый комплекс. Продовольственные товары 8.1»</v>
      </c>
      <c r="B522" s="4" t="str">
        <f ca="1">IFERROR(__xludf.DUMMYFUNCTION("""COMPUTED_VALUE"""),"с ЕГАИС, БАЗОВЫЙ")</f>
        <v>с ЕГАИС, БАЗОВЫЙ</v>
      </c>
      <c r="C522" s="4" t="str">
        <f ca="1">IFERROR(__xludf.DUMMYFUNCTION("""COMPUTED_VALUE"""),"RTL15AE-TKPT")</f>
        <v>RTL15AE-TKPT</v>
      </c>
      <c r="D522" s="4" t="str">
        <f ca="1">IFERROR(__xludf.DUMMYFUNCTION("""COMPUTED_VALUE"""),"Mobile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"&amp;"/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печать на мобил"&amp;"ьный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2" s="4" t="str">
        <f ca="1">IFERROR(__xludf.DUMMYFUNCTION("""COMPUTED_VALUE"""),"Mobile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")</f>
        <v xml:space="preserve">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</v>
      </c>
      <c r="F522" s="5">
        <f ca="1">IFERROR(__xludf.DUMMYFUNCTION("""COMPUTED_VALUE"""),15050)</f>
        <v>15050</v>
      </c>
    </row>
    <row r="523" spans="1:6" ht="86.25" customHeight="1" x14ac:dyDescent="0.2">
      <c r="A523" s="4" t="str">
        <f ca="1">IFERROR(__xludf.DUMMYFUNCTION("""COMPUTED_VALUE"""),"«1С: Общепит»")</f>
        <v>«1С: Общепит»</v>
      </c>
      <c r="B523" s="4" t="str">
        <f ca="1">IFERROR(__xludf.DUMMYFUNCTION("""COMPUTED_VALUE"""),"с ЕГАИС, БАЗОВЫЙ")</f>
        <v>с ЕГАИС, БАЗОВЫЙ</v>
      </c>
      <c r="C523" s="4" t="str">
        <f ca="1">IFERROR(__xludf.DUMMYFUNCTION("""COMPUTED_VALUE"""),"RTL15AE-1COP30")</f>
        <v>RTL15AE-1COP30</v>
      </c>
      <c r="D523" s="4" t="str">
        <f ca="1">IFERROR(__xludf.DUMMYFUNCTION("""COMPUTED_VALUE"""),"Mobile SMARTS: Магазин 15 с ЕГАИС, БАЗОВЫЙ для «1С: Общепит»,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проверк"&amp;"а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Общепит»,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3" s="4" t="str">
        <f ca="1">IFERROR(__xludf.DUMMYFUNCTION("""COMPUTED_VALUE"""),"Mobile SMARTS: Магазин 15 с ЕГАИС, БАЗОВЫЙ для «1С: Общепит», интеграция разработана правообладателем программного продукта «1С-Рарус» ")</f>
        <v xml:space="preserve">Mobile SMARTS: Магазин 15 с ЕГАИС, БАЗОВЫЙ для «1С: Общепит», интеграция разработана правообладателем программного продукта «1С-Рарус» </v>
      </c>
      <c r="F523" s="5">
        <f ca="1">IFERROR(__xludf.DUMMYFUNCTION("""COMPUTED_VALUE"""),6658)</f>
        <v>6658</v>
      </c>
    </row>
    <row r="524" spans="1:6" ht="86.25" customHeight="1" x14ac:dyDescent="0.2">
      <c r="A524" s="4" t="str">
        <f ca="1">IFERROR(__xludf.DUMMYFUNCTION("""COMPUTED_VALUE"""),"«1С: Общепит КОРП»")</f>
        <v>«1С: Общепит КОРП»</v>
      </c>
      <c r="B524" s="4" t="str">
        <f ca="1">IFERROR(__xludf.DUMMYFUNCTION("""COMPUTED_VALUE"""),"с ЕГАИС, БАЗОВЫЙ")</f>
        <v>с ЕГАИС, БАЗОВЫЙ</v>
      </c>
      <c r="C524" s="4" t="str">
        <f ca="1">IFERROR(__xludf.DUMMYFUNCTION("""COMPUTED_VALUE"""),"RTL15AE-1COPK30")</f>
        <v>RTL15AE-1COPK30</v>
      </c>
      <c r="D524" s="4" t="str">
        <f ca="1">IFERROR(__xludf.DUMMYFUNCTION("""COMPUTED_VALUE"""),"Mobile SMARTS: Магазин 15 с ЕГАИС, БАЗОВЫЙ для «1С: Общепит КОРП»,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пр"&amp;"оверка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«1С: Общепит КОРП»,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4" s="4" t="str">
        <f ca="1">IFERROR(__xludf.DUMMYFUNCTION("""COMPUTED_VALUE"""),"Mobile SMARTS: Магазин 15 с ЕГАИС, БАЗОВЫЙ для «1С: Общепит КОРП», интеграция разработана правообладателем программного продукта «1С-Рарус» ")</f>
        <v xml:space="preserve">Mobile SMARTS: Магазин 15 с ЕГАИС, БАЗОВЫЙ для «1С: Общепит КОРП», интеграция разработана правообладателем программного продукта «1С-Рарус» </v>
      </c>
      <c r="F524" s="5">
        <f ca="1">IFERROR(__xludf.DUMMYFUNCTION("""COMPUTED_VALUE"""),6658)</f>
        <v>6658</v>
      </c>
    </row>
    <row r="525" spans="1:6" ht="86.25" customHeight="1" x14ac:dyDescent="0.2">
      <c r="A525" s="4" t="str">
        <f ca="1">IFERROR(__xludf.DUMMYFUNCTION("""COMPUTED_VALUE"""),"«1С-Рарус: Управление рестораном 3»")</f>
        <v>«1С-Рарус: Управление рестораном 3»</v>
      </c>
      <c r="B525" s="4" t="str">
        <f ca="1">IFERROR(__xludf.DUMMYFUNCTION("""COMPUTED_VALUE"""),"с ЕГАИС, БАЗОВЫЙ")</f>
        <v>с ЕГАИС, БАЗОВЫЙ</v>
      </c>
      <c r="C525" s="4" t="str">
        <f ca="1">IFERROR(__xludf.DUMMYFUNCTION("""COMPUTED_VALUE"""),"RTL15AE-1CUR30")</f>
        <v>RTL15AE-1CUR30</v>
      </c>
      <c r="D525" s="4" t="str">
        <f ca="1">IFERROR(__xludf.DUMMYFUNCTION("""COMPUTED_VALUE"""),"Mobile SMARTS: Магазин 15 с ЕГАИС, БАЗОВЫЙ для «1С-Рарус: Управление рестораном 3»,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сб"&amp;"ор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«1С-Рарус: Управление рестораном 3»,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5" s="4" t="str">
        <f ca="1">IFERROR(__xludf.DUMMYFUNCTION("""COMPUTED_VALUE"""),"Mobile SMARTS: Магазин 15 с ЕГАИС, БАЗОВЫЙ для «1С-Рарус: Управление рестораном 3», интеграция разработана правообладателем программного продукта «1С-Рарус» ")</f>
        <v xml:space="preserve">Mobile SMARTS: Магазин 15 с ЕГАИС, БАЗОВЫЙ для «1С-Рарус: Управление рестораном 3», интеграция разработана правообладателем программного продукта «1С-Рарус» </v>
      </c>
      <c r="F525" s="5">
        <f ca="1">IFERROR(__xludf.DUMMYFUNCTION("""COMPUTED_VALUE"""),6658)</f>
        <v>6658</v>
      </c>
    </row>
    <row r="526" spans="1:6" ht="86.25" customHeight="1" x14ac:dyDescent="0.2">
      <c r="A526" s="4" t="str">
        <f ca="1">IFERROR(__xludf.DUMMYFUNCTION("""COMPUTED_VALUE"""),"«1С-Рарус: Комбинат питания 1»")</f>
        <v>«1С-Рарус: Комбинат питания 1»</v>
      </c>
      <c r="B526" s="4" t="str">
        <f ca="1">IFERROR(__xludf.DUMMYFUNCTION("""COMPUTED_VALUE"""),"с ЕГАИС, БАЗОВЫЙ")</f>
        <v>с ЕГАИС, БАЗОВЫЙ</v>
      </c>
      <c r="C526" s="4" t="str">
        <f ca="1">IFERROR(__xludf.DUMMYFUNCTION("""COMPUTED_VALUE"""),"RTL15AE-1CKP10")</f>
        <v>RTL15AE-1CKP10</v>
      </c>
      <c r="D526" s="4" t="str">
        <f ca="1">IFERROR(__xludf.DUMMYFUNCTION("""COMPUTED_VALUE"""),"Mobile SMARTS: Магазин 15 с ЕГАИС, БАЗОВЫЙ для «1С-Рарус: Комбинат питания 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шт"&amp;"рихкодов,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«1С-Рарус: Комбинат питания 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6" s="4" t="str">
        <f ca="1">IFERROR(__xludf.DUMMYFUNCTION("""COMPUTED_VALUE"""),"Mobile SMARTS: Магазин 15 с ЕГАИС, БАЗОВЫЙ для «1С-Рарус: Комбинат питания 1», интеграция разработана правообладателем программного продукта «1С-Рарус» ")</f>
        <v xml:space="preserve">Mobile SMARTS: Магазин 15 с ЕГАИС, БАЗОВЫЙ для «1С-Рарус: Комбинат питания 1», интеграция разработана правообладателем программного продукта «1С-Рарус» </v>
      </c>
      <c r="F526" s="5">
        <f ca="1">IFERROR(__xludf.DUMMYFUNCTION("""COMPUTED_VALUE"""),6658)</f>
        <v>6658</v>
      </c>
    </row>
    <row r="527" spans="1:6" ht="86.25" customHeight="1" x14ac:dyDescent="0.2">
      <c r="A527" s="4" t="str">
        <f ca="1">IFERROR(__xludf.DUMMYFUNCTION("""COMPUTED_VALUE"""),"«1С-Рарус: Управление отелем 2»")</f>
        <v>«1С-Рарус: Управление отелем 2»</v>
      </c>
      <c r="B527" s="4" t="str">
        <f ca="1">IFERROR(__xludf.DUMMYFUNCTION("""COMPUTED_VALUE"""),"с ЕГАИС, БАЗОВЫЙ")</f>
        <v>с ЕГАИС, БАЗОВЫЙ</v>
      </c>
      <c r="C527" s="4" t="str">
        <f ca="1">IFERROR(__xludf.DUMMYFUNCTION("""COMPUTED_VALUE"""),"RTL15AE-1CMH")</f>
        <v>RTL15AE-1CMH</v>
      </c>
      <c r="D527" s="4" t="str">
        <f ca="1">IFERROR(__xludf.DUMMYFUNCTION("""COMPUTED_VALUE"""),"Mobile SMARTS: Магазин 15 с ЕГАИС, БАЗОВЫЙ для «1С-Рарус: Управление отелем 2»,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ш"&amp;"трихкодов,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«1С-Рарус: Управление отелем 2»,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7" s="4" t="str">
        <f ca="1">IFERROR(__xludf.DUMMYFUNCTION("""COMPUTED_VALUE"""),"Mobile SMARTS: Магазин 15 с ЕГАИС, БАЗОВЫЙ для «1С-Рарус: Управление отелем 2», интеграция разработана правообладателем программного продукта «1С-Рарус» ")</f>
        <v xml:space="preserve">Mobile SMARTS: Магазин 15 с ЕГАИС, БАЗОВЫЙ для «1С-Рарус: Управление отелем 2», интеграция разработана правообладателем программного продукта «1С-Рарус» </v>
      </c>
      <c r="F527" s="5">
        <f ca="1">IFERROR(__xludf.DUMMYFUNCTION("""COMPUTED_VALUE"""),6658)</f>
        <v>6658</v>
      </c>
    </row>
    <row r="528" spans="1:6" ht="86.25" customHeight="1" x14ac:dyDescent="0.2">
      <c r="A528" s="4" t="str">
        <f ca="1">IFERROR(__xludf.DUMMYFUNCTION("""COMPUTED_VALUE"""),"«1С-Рарус: Управление санаторно-курортным комплексом 2»")</f>
        <v>«1С-Рарус: Управление санаторно-курортным комплексом 2»</v>
      </c>
      <c r="B528" s="4" t="str">
        <f ca="1">IFERROR(__xludf.DUMMYFUNCTION("""COMPUTED_VALUE"""),"с ЕГАИС, БАЗОВЫЙ")</f>
        <v>с ЕГАИС, БАЗОВЫЙ</v>
      </c>
      <c r="C528" s="4" t="str">
        <f ca="1">IFERROR(__xludf.DUMMYFUNCTION("""COMPUTED_VALUE"""),"RTL15AE-1CMSRC")</f>
        <v>RTL15AE-1CMSRC</v>
      </c>
      <c r="D528" s="4" t="str">
        <f ca="1">IFERROR(__xludf.DUMMYFUNCTION("""COMPUTED_VALUE"""),"Mobile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до"&amp;"ступные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8" s="4" t="str">
        <f ca="1">IFERROR(__xludf.DUMMYFUNCTION("""COMPUTED_VALUE"""),"Mobile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")</f>
        <v xml:space="preserve">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</v>
      </c>
      <c r="F528" s="5">
        <f ca="1">IFERROR(__xludf.DUMMYFUNCTION("""COMPUTED_VALUE"""),6658)</f>
        <v>6658</v>
      </c>
    </row>
    <row r="529" spans="1:6" ht="86.25" customHeight="1" x14ac:dyDescent="0.2">
      <c r="A529" s="4"/>
      <c r="B529" s="4"/>
      <c r="C529" s="4"/>
      <c r="D529" s="4" t="str">
        <f ca="1">IFERROR(__xludf.DUMMYFUNCTION("""COMPUTED_VALUE"""),"Лицензии для «1С:Предприятия» не стандартные (+2000р)")</f>
        <v>Лицензии для «1С:Предприятия» не стандартные (+2000р)</v>
      </c>
      <c r="E529" s="4" t="str">
        <f ca="1">IFERROR(__xludf.DUMMYFUNCTION("""COMPUTED_VALUE"""),"#VALUE!")</f>
        <v>#VALUE!</v>
      </c>
      <c r="F529" s="5" t="str">
        <f ca="1">IFERROR(__xludf.DUMMYFUNCTION("""COMPUTED_VALUE"""),"#N/A")</f>
        <v>#N/A</v>
      </c>
    </row>
    <row r="530" spans="1:6" ht="86.25" customHeight="1" x14ac:dyDescent="0.2">
      <c r="A530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0" s="4" t="str">
        <f ca="1">IFERROR(__xludf.DUMMYFUNCTION("""COMPUTED_VALUE"""),"МИНИМУМ")</f>
        <v>МИНИМУМ</v>
      </c>
      <c r="C530" s="4" t="str">
        <f ca="1">IFERROR(__xludf.DUMMYFUNCTION("""COMPUTED_VALUE"""),"RTL15M-1C77")</f>
        <v>RTL15M-1C77</v>
      </c>
      <c r="D530" s="4" t="str">
        <f ca="1">IFERROR(__xludf.DUMMYFUNCTION("""COMPUTED_VALUE"""),"Mobile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о"&amp;"нлайна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("&amp;"одно) моб. устройство, подписка на обновления и обмен через Интернет на 1 (один) год")</f>
        <v>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0" s="4" t="str">
        <f ca="1">IFERROR(__xludf.DUMMYFUNCTION("""COMPUTED_VALUE"""),"Mobile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")</f>
        <v xml:space="preserve">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</v>
      </c>
      <c r="F530" s="5">
        <f ca="1">IFERROR(__xludf.DUMMYFUNCTION("""COMPUTED_VALUE"""),5450)</f>
        <v>5450</v>
      </c>
    </row>
    <row r="531" spans="1:6" ht="86.25" customHeight="1" x14ac:dyDescent="0.2">
      <c r="A531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1" s="4" t="str">
        <f ca="1">IFERROR(__xludf.DUMMYFUNCTION("""COMPUTED_VALUE"""),"БАЗОВЫЙ")</f>
        <v>БАЗОВЫЙ</v>
      </c>
      <c r="C531" s="4" t="str">
        <f ca="1">IFERROR(__xludf.DUMMYFUNCTION("""COMPUTED_VALUE"""),"RTL15A-1C77")</f>
        <v>RTL15A-1C77</v>
      </c>
      <c r="D531" s="4" t="str">
        <f ca="1">IFERROR(__xludf.DUMMYFUNCTION("""COMPUTED_VALUE"""),"Mobile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о"&amp;"нлайна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1" s="4" t="str">
        <f ca="1">IFERROR(__xludf.DUMMYFUNCTION("""COMPUTED_VALUE"""),"Mobile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")</f>
        <v xml:space="preserve">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</v>
      </c>
      <c r="F531" s="5">
        <f ca="1">IFERROR(__xludf.DUMMYFUNCTION("""COMPUTED_VALUE"""),10650)</f>
        <v>10650</v>
      </c>
    </row>
    <row r="532" spans="1:6" ht="86.25" customHeight="1" x14ac:dyDescent="0.2">
      <c r="A532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2" s="4" t="str">
        <f ca="1">IFERROR(__xludf.DUMMYFUNCTION("""COMPUTED_VALUE"""),"РАСШИРЕННЫЙ")</f>
        <v>РАСШИРЕННЫЙ</v>
      </c>
      <c r="C532" s="4" t="str">
        <f ca="1">IFERROR(__xludf.DUMMYFUNCTION("""COMPUTED_VALUE"""),"RTL15B-1C77")</f>
        <v>RTL15B-1C77</v>
      </c>
      <c r="D532" s="4" t="str">
        <f ca="1">IFERROR(__xludf.DUMMYFUNCTION("""COMPUTED_VALUE"""),"Mobile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е"&amp;"сть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2" s="4" t="str">
        <f ca="1">IFERROR(__xludf.DUMMYFUNCTION("""COMPUTED_VALUE"""),"Mobile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")</f>
        <v xml:space="preserve">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</v>
      </c>
      <c r="F532" s="5">
        <f ca="1">IFERROR(__xludf.DUMMYFUNCTION("""COMPUTED_VALUE"""),17050)</f>
        <v>17050</v>
      </c>
    </row>
    <row r="533" spans="1:6" ht="86.25" customHeight="1" x14ac:dyDescent="0.2">
      <c r="A533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3" s="4" t="str">
        <f ca="1">IFERROR(__xludf.DUMMYFUNCTION("""COMPUTED_VALUE"""),"МЕГАМАРКЕТ")</f>
        <v>МЕГАМАРКЕТ</v>
      </c>
      <c r="C533" s="4" t="str">
        <f ca="1">IFERROR(__xludf.DUMMYFUNCTION("""COMPUTED_VALUE"""),"RTL15C-1C77")</f>
        <v>RTL15C-1C77</v>
      </c>
      <c r="D533" s="4" t="str">
        <f ca="1">IFERROR(__xludf.DUMMYFUNCTION("""COMPUTED_VALUE"""),"Mobile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ес"&amp;"ть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коллективна"&amp;"я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3" s="4" t="str">
        <f ca="1">IFERROR(__xludf.DUMMYFUNCTION("""COMPUTED_VALUE"""),"Mobile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")</f>
        <v xml:space="preserve">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</v>
      </c>
      <c r="F533" s="5">
        <f ca="1">IFERROR(__xludf.DUMMYFUNCTION("""COMPUTED_VALUE"""),23550)</f>
        <v>23550</v>
      </c>
    </row>
    <row r="534" spans="1:6" ht="86.25" customHeight="1" x14ac:dyDescent="0.2">
      <c r="A534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4" s="4" t="str">
        <f ca="1">IFERROR(__xludf.DUMMYFUNCTION("""COMPUTED_VALUE"""),"с ЕГАИС, БАЗОВЫЙ")</f>
        <v>с ЕГАИС, БАЗОВЫЙ</v>
      </c>
      <c r="C534" s="4" t="str">
        <f ca="1">IFERROR(__xludf.DUMMYFUNCTION("""COMPUTED_VALUE"""),"RTL15AE-1C77")</f>
        <v>RTL15AE-1C77</v>
      </c>
      <c r="D534" s="4" t="str">
        <f ca="1">IFERROR(__xludf.DUMMYFUNCTION("""COMPUTED_VALUE"""),"Mobile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проводной"&amp;",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справ"&amp;"очников,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устройс"&amp;"тво, подписка на обновления и обмен через Интернет на 1 (один) год")</f>
        <v>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4" s="4" t="str">
        <f ca="1">IFERROR(__xludf.DUMMYFUNCTION("""COMPUTED_VALUE"""),"Mobile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34" s="5">
        <f ca="1">IFERROR(__xludf.DUMMYFUNCTION("""COMPUTED_VALUE"""),13000)</f>
        <v>13000</v>
      </c>
    </row>
    <row r="535" spans="1:6" ht="86.25" customHeight="1" x14ac:dyDescent="0.2">
      <c r="A535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5" s="4" t="str">
        <f ca="1">IFERROR(__xludf.DUMMYFUNCTION("""COMPUTED_VALUE"""),"с ЕГАИС, РАСШИРЕННЫЙ")</f>
        <v>с ЕГАИС, РАСШИРЕННЫЙ</v>
      </c>
      <c r="C535" s="4" t="str">
        <f ca="1">IFERROR(__xludf.DUMMYFUNCTION("""COMPUTED_VALUE"""),"RTL15BE-1C77")</f>
        <v>RTL15BE-1C77</v>
      </c>
      <c r="D535" s="4" t="str">
        <f ca="1">IFERROR(__xludf.DUMMYFUNCTION("""COMPUTED_VALUE"""),"Mobile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прово"&amp;"дной,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с"&amp;"правочников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подпи"&amp;"ска на обновления и обмен через Интернет на 1 (один) год")</f>
        <v>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5" s="4" t="str">
        <f ca="1">IFERROR(__xludf.DUMMYFUNCTION("""COMPUTED_VALUE"""),"Mobile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35" s="5">
        <f ca="1">IFERROR(__xludf.DUMMYFUNCTION("""COMPUTED_VALUE"""),19450)</f>
        <v>19450</v>
      </c>
    </row>
    <row r="536" spans="1:6" ht="86.25" customHeight="1" x14ac:dyDescent="0.2">
      <c r="A536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6" s="4" t="str">
        <f ca="1">IFERROR(__xludf.DUMMYFUNCTION("""COMPUTED_VALUE"""),"с ЕГАИС (без CheckMark2), МЕГАМАРКЕТ")</f>
        <v>с ЕГАИС (без CheckMark2), МЕГАМАРКЕТ</v>
      </c>
      <c r="C536" s="4" t="str">
        <f ca="1">IFERROR(__xludf.DUMMYFUNCTION("""COMPUTED_VALUE"""),"RTL15CEV-1C77")</f>
        <v>RTL15CEV-1C77</v>
      </c>
      <c r="D536" s="4" t="str">
        <f ca="1">IFERROR(__xludf.DUMMYFUNCTION("""COMPUTED_VALUE"""),"Mobile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"&amp;"/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штрихк"&amp;"одов,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/"&amp;" бессрочная лицензия на 1 (одно) моб. устройство, подписка на обновления и обмен через Интернет на 1 (один) год")</f>
        <v>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6" s="4" t="str">
        <f ca="1">IFERROR(__xludf.DUMMYFUNCTION("""COMPUTED_VALUE"""),"Mobile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36" s="5">
        <f ca="1">IFERROR(__xludf.DUMMYFUNCTION("""COMPUTED_VALUE"""),25850)</f>
        <v>25850</v>
      </c>
    </row>
    <row r="537" spans="1:6" ht="86.25" customHeight="1" x14ac:dyDescent="0.2">
      <c r="A537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7" s="4" t="str">
        <f ca="1">IFERROR(__xludf.DUMMYFUNCTION("""COMPUTED_VALUE"""),"с МОТП, БАЗОВЫЙ")</f>
        <v>с МОТП, БАЗОВЫЙ</v>
      </c>
      <c r="C537" s="4" t="str">
        <f ca="1">IFERROR(__xludf.DUMMYFUNCTION("""COMPUTED_VALUE"""),"RTL15AT-1C77")</f>
        <v>RTL15AT-1C77</v>
      </c>
      <c r="D537" s="4" t="str">
        <f ca="1">IFERROR(__xludf.DUMMYFUNCTION("""COMPUTED_VALUE"""),"Mobile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беспрово"&amp;"дной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7" s="4" t="str">
        <f ca="1">IFERROR(__xludf.DUMMYFUNCTION("""COMPUTED_VALUE"""),"Mobile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37" s="5">
        <f ca="1">IFERROR(__xludf.DUMMYFUNCTION("""COMPUTED_VALUE"""),13150)</f>
        <v>13150</v>
      </c>
    </row>
    <row r="538" spans="1:6" ht="86.25" customHeight="1" x14ac:dyDescent="0.2">
      <c r="A538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8" s="4" t="str">
        <f ca="1">IFERROR(__xludf.DUMMYFUNCTION("""COMPUTED_VALUE"""),"с МОТП, РАСШИРЕННЫЙ")</f>
        <v>с МОТП, РАСШИРЕННЫЙ</v>
      </c>
      <c r="C538" s="4" t="str">
        <f ca="1">IFERROR(__xludf.DUMMYFUNCTION("""COMPUTED_VALUE"""),"RTL15BT-1C77")</f>
        <v>RTL15BT-1C77</v>
      </c>
      <c r="D538" s="4" t="str">
        <f ca="1">IFERROR(__xludf.DUMMYFUNCTION("""COMPUTED_VALUE"""),"Mobile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бесп"&amp;"роводной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штрихкод"&amp;"ов,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ус"&amp;"тройство, подписка на обновления и обмен через Интернет на 1 (один) год")</f>
        <v>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8" s="4" t="str">
        <f ca="1">IFERROR(__xludf.DUMMYFUNCTION("""COMPUTED_VALUE"""),"Mobile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38" s="5">
        <f ca="1">IFERROR(__xludf.DUMMYFUNCTION("""COMPUTED_VALUE"""),19450)</f>
        <v>19450</v>
      </c>
    </row>
    <row r="539" spans="1:6" ht="86.25" customHeight="1" x14ac:dyDescent="0.2">
      <c r="A539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9" s="4" t="str">
        <f ca="1">IFERROR(__xludf.DUMMYFUNCTION("""COMPUTED_VALUE"""),"с МОТП, МЕГАМАРКЕТ")</f>
        <v>с МОТП, МЕГАМАРКЕТ</v>
      </c>
      <c r="C539" s="4" t="str">
        <f ca="1">IFERROR(__xludf.DUMMYFUNCTION("""COMPUTED_VALUE"""),"RTL15CT-1C77")</f>
        <v>RTL15CT-1C77</v>
      </c>
      <c r="D539" s="4" t="str">
        <f ca="1">IFERROR(__xludf.DUMMYFUNCTION("""COMPUTED_VALUE"""),"Mobile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беспр"&amp;"оводной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штрихкодо"&amp;"в,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лицензия"&amp;" на 1 (одно) моб. устройство, подписка на обновления и обмен через Интернет на 1 (один) год")</f>
        <v>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9" s="4" t="str">
        <f ca="1">IFERROR(__xludf.DUMMYFUNCTION("""COMPUTED_VALUE"""),"Mobile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39" s="5">
        <f ca="1">IFERROR(__xludf.DUMMYFUNCTION("""COMPUTED_VALUE"""),25850)</f>
        <v>25850</v>
      </c>
    </row>
    <row r="540" spans="1:6" ht="86.25" customHeight="1" x14ac:dyDescent="0.2">
      <c r="A540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0" s="4" t="str">
        <f ca="1">IFERROR(__xludf.DUMMYFUNCTION("""COMPUTED_VALUE"""),"с ЕГАИС и МОТП, БАЗОВЫЙ")</f>
        <v>с ЕГАИС и МОТП, БАЗОВЫЙ</v>
      </c>
      <c r="C540" s="4" t="str">
        <f ca="1">IFERROR(__xludf.DUMMYFUNCTION("""COMPUTED_VALUE"""),"RTL15AET-1C77")</f>
        <v>RTL15AET-1C77</v>
      </c>
      <c r="D540" s="4" t="str">
        <f ca="1">IFERROR(__xludf.DUMMYFUNCTION("""COMPUTED_VALUE"""),"Mobile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п"&amp;"роводной,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"&amp;"списание,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0" s="4" t="str">
        <f ca="1">IFERROR(__xludf.DUMMYFUNCTION("""COMPUTED_VALUE"""),"Mobile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40" s="5">
        <f ca="1">IFERROR(__xludf.DUMMYFUNCTION("""COMPUTED_VALUE"""),14150)</f>
        <v>14150</v>
      </c>
    </row>
    <row r="541" spans="1:6" ht="86.25" customHeight="1" x14ac:dyDescent="0.2">
      <c r="A541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1" s="4" t="str">
        <f ca="1">IFERROR(__xludf.DUMMYFUNCTION("""COMPUTED_VALUE"""),"с ЕГАИС и МОТП, РАСШИРЕННЫЙ")</f>
        <v>с ЕГАИС и МОТП, РАСШИРЕННЫЙ</v>
      </c>
      <c r="C541" s="4" t="str">
        <f ca="1">IFERROR(__xludf.DUMMYFUNCTION("""COMPUTED_VALUE"""),"RTL15BET-1C77")</f>
        <v>RTL15BET-1C77</v>
      </c>
      <c r="D541" s="4" t="str">
        <f ca="1">IFERROR(__xludf.DUMMYFUNCTION("""COMPUTED_VALUE"""),"Mobile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1" s="4" t="str">
        <f ca="1">IFERROR(__xludf.DUMMYFUNCTION("""COMPUTED_VALUE"""),"Mobile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41" s="5">
        <f ca="1">IFERROR(__xludf.DUMMYFUNCTION("""COMPUTED_VALUE"""),20550)</f>
        <v>20550</v>
      </c>
    </row>
    <row r="542" spans="1:6" ht="86.25" customHeight="1" x14ac:dyDescent="0.2">
      <c r="A542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2" s="4" t="str">
        <f ca="1">IFERROR(__xludf.DUMMYFUNCTION("""COMPUTED_VALUE"""),"с ЕГАИС и МОТП, МЕГАМАРКЕТ")</f>
        <v>с ЕГАИС и МОТП, МЕГАМАРКЕТ</v>
      </c>
      <c r="C542" s="4" t="str">
        <f ca="1">IFERROR(__xludf.DUMMYFUNCTION("""COMPUTED_VALUE"""),"RTL15CET-1C77")</f>
        <v>RTL15CET-1C77</v>
      </c>
      <c r="D542" s="4" t="str">
        <f ca="1">IFERROR(__xludf.DUMMYFUNCTION("""COMPUTED_VALUE"""),"Mobile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выбо"&amp;"р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2" s="4" t="str">
        <f ca="1">IFERROR(__xludf.DUMMYFUNCTION("""COMPUTED_VALUE"""),"Mobile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42" s="5">
        <f ca="1">IFERROR(__xludf.DUMMYFUNCTION("""COMPUTED_VALUE"""),28350)</f>
        <v>28350</v>
      </c>
    </row>
    <row r="543" spans="1:6" ht="86.25" customHeight="1" x14ac:dyDescent="0.2">
      <c r="A543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3" s="4" t="str">
        <f ca="1">IFERROR(__xludf.DUMMYFUNCTION("""COMPUTED_VALUE"""),"ШМОТКИ, БАЗОВЫЙ")</f>
        <v>ШМОТКИ, БАЗОВЫЙ</v>
      </c>
      <c r="C543" s="4" t="str">
        <f ca="1">IFERROR(__xludf.DUMMYFUNCTION("""COMPUTED_VALUE"""),"RTL15AK-1C77")</f>
        <v>RTL15AK-1C77</v>
      </c>
      <c r="D543" s="4" t="str">
        <f ca="1">IFERROR(__xludf.DUMMYFUNCTION("""COMPUTED_VALUE"""),"Mobile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выб"&amp;"ор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и обмен через Интернет на 1 (один) год")</f>
        <v>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3" s="4" t="str">
        <f ca="1">IFERROR(__xludf.DUMMYFUNCTION("""COMPUTED_VALUE"""),"Mobile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")</f>
        <v xml:space="preserve">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43" s="5">
        <f ca="1">IFERROR(__xludf.DUMMYFUNCTION("""COMPUTED_VALUE"""),14150)</f>
        <v>14150</v>
      </c>
    </row>
    <row r="544" spans="1:6" ht="86.25" customHeight="1" x14ac:dyDescent="0.2">
      <c r="A544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4" s="4" t="str">
        <f ca="1">IFERROR(__xludf.DUMMYFUNCTION("""COMPUTED_VALUE"""),"ШМОТКИ, РАСШИРЕННЫЙ")</f>
        <v>ШМОТКИ, РАСШИРЕННЫЙ</v>
      </c>
      <c r="C544" s="4" t="str">
        <f ca="1">IFERROR(__xludf.DUMMYFUNCTION("""COMPUTED_VALUE"""),"RTL15BK-1C77")</f>
        <v>RTL15BK-1C77</v>
      </c>
      <c r="D544" s="4" t="str">
        <f ca="1">IFERROR(__xludf.DUMMYFUNCTION("""COMPUTED_VALUE"""),"Mobile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на"&amp;"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пере"&amp;"мещение,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лиценз"&amp;"ия на 1 (одно) моб. устройство, подписка на обновления и обмен через Интернет на 1 (один) год")</f>
        <v>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4" s="4" t="str">
        <f ca="1">IFERROR(__xludf.DUMMYFUNCTION("""COMPUTED_VALUE"""),"Mobile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")</f>
        <v xml:space="preserve">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44" s="5">
        <f ca="1">IFERROR(__xludf.DUMMYFUNCTION("""COMPUTED_VALUE"""),20550)</f>
        <v>20550</v>
      </c>
    </row>
    <row r="545" spans="1:6" ht="86.25" customHeight="1" x14ac:dyDescent="0.2">
      <c r="A545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5" s="4" t="str">
        <f ca="1">IFERROR(__xludf.DUMMYFUNCTION("""COMPUTED_VALUE"""),"ШМОТКИ, МЕГАМАРКЕТ")</f>
        <v>ШМОТКИ, МЕГАМАРКЕТ</v>
      </c>
      <c r="C545" s="4" t="str">
        <f ca="1">IFERROR(__xludf.DUMMYFUNCTION("""COMPUTED_VALUE"""),"RTL15CK-1C77")</f>
        <v>RTL15CK-1C77</v>
      </c>
      <c r="D545" s="4" t="str">
        <f ca="1">IFERROR(__xludf.DUMMYFUNCTION("""COMPUTED_VALUE"""),"Mobile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бес"&amp;"проводной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лиценз"&amp;"ия на 1 (одно) моб. устройство, подписка на обновления и обмен через Интернет на 1 (один) год")</f>
        <v>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5" s="4" t="str">
        <f ca="1">IFERROR(__xludf.DUMMYFUNCTION("""COMPUTED_VALUE"""),"Mobile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")</f>
        <v xml:space="preserve">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</v>
      </c>
      <c r="F545" s="5">
        <f ca="1">IFERROR(__xludf.DUMMYFUNCTION("""COMPUTED_VALUE"""),28350)</f>
        <v>28350</v>
      </c>
    </row>
    <row r="546" spans="1:6" ht="86.25" customHeight="1" x14ac:dyDescent="0.2">
      <c r="A546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6" s="4" t="str">
        <f ca="1">IFERROR(__xludf.DUMMYFUNCTION("""COMPUTED_VALUE"""),"с МДЛП, БАЗОВЫЙ")</f>
        <v>с МДЛП, БАЗОВЫЙ</v>
      </c>
      <c r="C546" s="4" t="str">
        <f ca="1">IFERROR(__xludf.DUMMYFUNCTION("""COMPUTED_VALUE"""),"RTL15AL-1C77")</f>
        <v>RTL15AL-1C77</v>
      </c>
      <c r="D546" s="4" t="str">
        <f ca="1">IFERROR(__xludf.DUMMYFUNCTION("""COMPUTED_VALUE"""),"Mobile SMARTS: Магазин 15 с МДЛП,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проводн"&amp;"ой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прос"&amp;"мотр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на 1 (один) год")</f>
        <v>Mobile SMARTS: Магазин 15 с МДЛП,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46" s="4" t="str">
        <f ca="1">IFERROR(__xludf.DUMMYFUNCTION("""COMPUTED_VALUE"""),"Mobile SMARTS: Магазин 15 с МДЛП, БАЗОВЫЙ для конфигурации на базе «1С:Предприятия 7.7» ")</f>
        <v xml:space="preserve">Mobile SMARTS: Магазин 15 с МДЛП, БАЗОВЫЙ для конфигурации на базе «1С:Предприятия 7.7» </v>
      </c>
      <c r="F546" s="5">
        <f ca="1">IFERROR(__xludf.DUMMYFUNCTION("""COMPUTED_VALUE"""),10458)</f>
        <v>10458</v>
      </c>
    </row>
    <row r="547" spans="1:6" ht="86.25" customHeight="1" x14ac:dyDescent="0.2">
      <c r="A547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7" s="4" t="str">
        <f ca="1">IFERROR(__xludf.DUMMYFUNCTION("""COMPUTED_VALUE"""),"с МДЛП, РАСШИРЕННЫЙ")</f>
        <v>с МДЛП, РАСШИРЕННЫЙ</v>
      </c>
      <c r="C547" s="4" t="str">
        <f ca="1">IFERROR(__xludf.DUMMYFUNCTION("""COMPUTED_VALUE"""),"RTL15BL-1C77")</f>
        <v>RTL15BL-1C77</v>
      </c>
      <c r="D547" s="4" t="str">
        <f ca="1">IFERROR(__xludf.DUMMYFUNCTION("""COMPUTED_VALUE"""),"Mobile SMARTS: Магазин 15 с МДЛП,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про"&amp;"водной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на 1 (один) год")</f>
        <v>Mobile SMARTS: Магазин 15 с МДЛП,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47" s="4" t="str">
        <f ca="1">IFERROR(__xludf.DUMMYFUNCTION("""COMPUTED_VALUE"""),"Mobile SMARTS: Магазин 15 с МДЛП, РАСШИРЕННЫЙ для конфигурации на базе «1С:Предприятия 7.7» ")</f>
        <v xml:space="preserve">Mobile SMARTS: Магазин 15 с МДЛП, РАСШИРЕННЫЙ для конфигурации на базе «1С:Предприятия 7.7» </v>
      </c>
      <c r="F547" s="5">
        <f ca="1">IFERROR(__xludf.DUMMYFUNCTION("""COMPUTED_VALUE"""),15378)</f>
        <v>15378</v>
      </c>
    </row>
    <row r="548" spans="1:6" ht="86.25" customHeight="1" x14ac:dyDescent="0.2">
      <c r="A548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8" s="4" t="str">
        <f ca="1">IFERROR(__xludf.DUMMYFUNCTION("""COMPUTED_VALUE"""),"с МДЛП, МЕГАМАРКЕТ")</f>
        <v>с МДЛП, МЕГАМАРКЕТ</v>
      </c>
      <c r="C548" s="4" t="str">
        <f ca="1">IFERROR(__xludf.DUMMYFUNCTION("""COMPUTED_VALUE"""),"RTL15CL-1C77")</f>
        <v>RTL15CL-1C77</v>
      </c>
      <c r="D548" s="4" t="str">
        <f ca="1">IFERROR(__xludf.DUMMYFUNCTION("""COMPUTED_VALUE"""),"Mobile SMARTS: Магазин 15 с МДЛП,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пров"&amp;"одной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п"&amp;"росмотр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устро"&amp;"йство, подписка на обновления на 1 (один) год")</f>
        <v>Mobile SMARTS: Магазин 15 с МДЛП,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48" s="4" t="str">
        <f ca="1">IFERROR(__xludf.DUMMYFUNCTION("""COMPUTED_VALUE"""),"Mobile SMARTS: Магазин 15 с МДЛП, МЕГАМАРКЕТ для конфигурации на базе «1С:Предприятия 7.7» ")</f>
        <v xml:space="preserve">Mobile SMARTS: Магазин 15 с МДЛП, МЕГАМАРКЕТ для конфигурации на базе «1С:Предприятия 7.7» </v>
      </c>
      <c r="F548" s="5">
        <f ca="1">IFERROR(__xludf.DUMMYFUNCTION("""COMPUTED_VALUE"""),22698)</f>
        <v>22698</v>
      </c>
    </row>
    <row r="549" spans="1:6" ht="86.25" customHeight="1" x14ac:dyDescent="0.2">
      <c r="A549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9" s="4" t="str">
        <f ca="1">IFERROR(__xludf.DUMMYFUNCTION("""COMPUTED_VALUE"""),"ПРОДУКТОВЫЙ, БАЗОВЫЙ")</f>
        <v>ПРОДУКТОВЫЙ, БАЗОВЫЙ</v>
      </c>
      <c r="C549" s="4" t="str">
        <f ca="1">IFERROR(__xludf.DUMMYFUNCTION("""COMPUTED_VALUE"""),"RTL15AG-1C77")</f>
        <v>RTL15AG-1C77</v>
      </c>
      <c r="D549" s="4" t="str">
        <f ca="1">IFERROR(__xludf.DUMMYFUNCTION("""COMPUTED_VALUE"""),"Mobile SMARTS: Магазин 15 ПРОДУКТОВЫЙ,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П"&amp;"АРФЮМ,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с"&amp;"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тов"&amp;"аре,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49" s="4" t="str">
        <f ca="1">IFERROR(__xludf.DUMMYFUNCTION("""COMPUTED_VALUE"""),"Mobile SMARTS: Магазин 15 ПРОДУКТОВЫЙ, БАЗОВЫЙ для конфигурации на базе «1С:Предприятия 7.7» ")</f>
        <v xml:space="preserve">Mobile SMARTS: Магазин 15 ПРОДУКТОВЫЙ, БАЗОВЫЙ для конфигурации на базе «1С:Предприятия 7.7» </v>
      </c>
      <c r="F549" s="5">
        <f ca="1">IFERROR(__xludf.DUMMYFUNCTION("""COMPUTED_VALUE"""),13158)</f>
        <v>13158</v>
      </c>
    </row>
    <row r="550" spans="1:6" ht="86.25" customHeight="1" x14ac:dyDescent="0.2">
      <c r="A550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0" s="4" t="str">
        <f ca="1">IFERROR(__xludf.DUMMYFUNCTION("""COMPUTED_VALUE"""),"ПРОДУКТОВЫЙ, РАСШИРЕННЫЙ")</f>
        <v>ПРОДУКТОВЫЙ, РАСШИРЕННЫЙ</v>
      </c>
      <c r="C550" s="4" t="str">
        <f ca="1">IFERROR(__xludf.DUMMYFUNCTION("""COMPUTED_VALUE"""),"RTL15BG-1C77")</f>
        <v>RTL15BG-1C77</v>
      </c>
      <c r="D550" s="4" t="str">
        <f ca="1">IFERROR(__xludf.DUMMYFUNCTION("""COMPUTED_VALUE"""),"Mobile SMARTS: Магазин 15 ПРОДУКТОВЫЙ,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ОБУВ"&amp;"Ь,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50" s="4" t="str">
        <f ca="1">IFERROR(__xludf.DUMMYFUNCTION("""COMPUTED_VALUE"""),"Mobile SMARTS: Магазин 15 ПРОДУКТОВЫЙ, РАСШИРЕННЫЙ для конфигурации на базе «1С:Предприятия 7.7» ")</f>
        <v xml:space="preserve">Mobile SMARTS: Магазин 15 ПРОДУКТОВЫЙ, РАСШИРЕННЫЙ для конфигурации на базе «1С:Предприятия 7.7» </v>
      </c>
      <c r="F550" s="5">
        <f ca="1">IFERROR(__xludf.DUMMYFUNCTION("""COMPUTED_VALUE"""),18078)</f>
        <v>18078</v>
      </c>
    </row>
    <row r="551" spans="1:6" ht="86.25" customHeight="1" x14ac:dyDescent="0.2">
      <c r="A551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1" s="4" t="str">
        <f ca="1">IFERROR(__xludf.DUMMYFUNCTION("""COMPUTED_VALUE"""),"ПРОДУКТОВЫЙ, МЕГАМАРКЕТ")</f>
        <v>ПРОДУКТОВЫЙ, МЕГАМАРКЕТ</v>
      </c>
      <c r="C551" s="4" t="str">
        <f ca="1">IFERROR(__xludf.DUMMYFUNCTION("""COMPUTED_VALUE"""),"RTL15CG-1C77")</f>
        <v>RTL15CG-1C77</v>
      </c>
      <c r="D551" s="4" t="str">
        <f ca="1">IFERROR(__xludf.DUMMYFUNCTION("""COMPUTED_VALUE"""),"Mobile SMARTS: Магазин 15 ПРОДУКТОВЫЙ,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ОБУВЬ"&amp;",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т.ч"&amp;".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"&amp;"работа,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51" s="4" t="str">
        <f ca="1">IFERROR(__xludf.DUMMYFUNCTION("""COMPUTED_VALUE"""),"Mobile SMARTS: Магазин 15 ПРОДУКТОВЫЙ, МЕГАМАРКЕТ для конфигурации на базе «1С:Предприятия 7.7» ")</f>
        <v xml:space="preserve">Mobile SMARTS: Магазин 15 ПРОДУКТОВЫЙ, МЕГАМАРКЕТ для конфигурации на базе «1С:Предприятия 7.7» </v>
      </c>
      <c r="F551" s="5">
        <f ca="1">IFERROR(__xludf.DUMMYFUNCTION("""COMPUTED_VALUE"""),30169)</f>
        <v>30169</v>
      </c>
    </row>
    <row r="552" spans="1:6" ht="86.25" customHeight="1" x14ac:dyDescent="0.2">
      <c r="A552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2" s="4" t="str">
        <f ca="1">IFERROR(__xludf.DUMMYFUNCTION("""COMPUTED_VALUE"""),"ПРОДУКТОВЫЙ без ЕГАИС, БАЗОВЫЙ")</f>
        <v>ПРОДУКТОВЫЙ без ЕГАИС, БАЗОВЫЙ</v>
      </c>
      <c r="C552" s="4" t="str">
        <f ca="1">IFERROR(__xludf.DUMMYFUNCTION("""COMPUTED_VALUE"""),"RTL15AGNE-1C77")</f>
        <v>RTL15AGNE-1C77</v>
      </c>
      <c r="D552" s="4" t="str">
        <f ca="1">IFERROR(__xludf.DUMMYFUNCTION("""COMPUTED_VALUE"""),"Mobile SMARTS: Магазин 15 ПРОДУКТОВЫЙ без ЕГАИС,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Д"&amp;"УХИ, ШИНЫ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т.ч."&amp;"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сущес"&amp;"твующих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ПРОДУКТОВЫЙ без ЕГАИС,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ДУХИ, ШИНЫ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52" s="4" t="str">
        <f ca="1">IFERROR(__xludf.DUMMYFUNCTION("""COMPUTED_VALUE"""),"Mobile SMARTS: Магазин 15 ПРОДУКТОВЫЙ без ЕГАИС, БАЗОВЫЙ для конфигурации на базе «1С:Предприятия 7.7» ")</f>
        <v xml:space="preserve">Mobile SMARTS: Магазин 15 ПРОДУКТОВЫЙ без ЕГАИС, БАЗОВЫЙ для конфигурации на базе «1С:Предприятия 7.7» </v>
      </c>
      <c r="F552" s="5">
        <f ca="1">IFERROR(__xludf.DUMMYFUNCTION("""COMPUTED_VALUE"""),11358)</f>
        <v>11358</v>
      </c>
    </row>
    <row r="553" spans="1:6" ht="86.25" customHeight="1" x14ac:dyDescent="0.2">
      <c r="A553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3" s="4" t="str">
        <f ca="1">IFERROR(__xludf.DUMMYFUNCTION("""COMPUTED_VALUE"""),"ПРОДУКТОВЫЙ без ЕГАИС, РАСШИРЕННЫЙ")</f>
        <v>ПРОДУКТОВЫЙ без ЕГАИС, РАСШИРЕННЫЙ</v>
      </c>
      <c r="C553" s="4" t="str">
        <f ca="1">IFERROR(__xludf.DUMMYFUNCTION("""COMPUTED_VALUE"""),"RTL15BGNE-1C77")</f>
        <v>RTL15BGNE-1C77</v>
      </c>
      <c r="D553" s="4" t="str">
        <f ca="1">IFERROR(__xludf.DUMMYFUNCTION("""COMPUTED_VALUE"""),"Mobile SMARTS: Магазин 15 ПРОДУКТОВЫЙ без ЕГАИС,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ОБУВ"&amp;"Ь,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"&amp;"т.ч.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ПРОДУКТОВЫЙ без ЕГАИС,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53" s="4" t="str">
        <f ca="1">IFERROR(__xludf.DUMMYFUNCTION("""COMPUTED_VALUE"""),"Mobile SMARTS: Магазин 15 ПРОДУКТОВЫЙ без ЕГАИС, РАСШИРЕННЫЙ для конфигурации на базе «1С:Предприятия 7.7» ")</f>
        <v xml:space="preserve">Mobile SMARTS: Магазин 15 ПРОДУКТОВЫЙ без ЕГАИС, РАСШИРЕННЫЙ для конфигурации на базе «1С:Предприятия 7.7» </v>
      </c>
      <c r="F553" s="5" t="str">
        <f ca="1">IFERROR(__xludf.DUMMYFUNCTION("""COMPUTED_VALUE"""),"#N/A")</f>
        <v>#N/A</v>
      </c>
    </row>
    <row r="554" spans="1:6" ht="86.25" customHeight="1" x14ac:dyDescent="0.2">
      <c r="A554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4" s="4" t="str">
        <f ca="1">IFERROR(__xludf.DUMMYFUNCTION("""COMPUTED_VALUE"""),"ПРОДУКТОВЫЙ без ЕГАИС, МЕГАМАРКЕТ")</f>
        <v>ПРОДУКТОВЫЙ без ЕГАИС, МЕГАМАРКЕТ</v>
      </c>
      <c r="C554" s="4" t="str">
        <f ca="1">IFERROR(__xludf.DUMMYFUNCTION("""COMPUTED_VALUE"""),"RTL15CGNE-1C77")</f>
        <v>RTL15CGNE-1C77</v>
      </c>
      <c r="D554" s="4" t="str">
        <f ca="1">IFERROR(__xludf.DUMMYFUNCTION("""COMPUTED_VALUE"""),"Mobile SMARTS: Магазин 15 ПРОДУКТОВЫЙ без ЕГАИС,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ОБУВЬ"&amp;",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т"&amp;".ч.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"&amp;"экране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ПРОДУКТОВЫЙ без ЕГАИС,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54" s="4" t="str">
        <f ca="1">IFERROR(__xludf.DUMMYFUNCTION("""COMPUTED_VALUE"""),"Mobile SMARTS: Магазин 15 ПРОДУКТОВЫЙ без ЕГАИС, МЕГАМАРКЕТ для конфигурации на базе «1С:Предприятия 7.7» ")</f>
        <v xml:space="preserve">Mobile SMARTS: Магазин 15 ПРОДУКТОВЫЙ без ЕГАИС, МЕГАМАРКЕТ для конфигурации на базе «1С:Предприятия 7.7» </v>
      </c>
      <c r="F554" s="5" t="str">
        <f ca="1">IFERROR(__xludf.DUMMYFUNCTION("""COMPUTED_VALUE"""),"#N/A")</f>
        <v>#N/A</v>
      </c>
    </row>
    <row r="555" spans="1:6" ht="86.25" customHeight="1" x14ac:dyDescent="0.2">
      <c r="A555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55" s="4" t="str">
        <f ca="1">IFERROR(__xludf.DUMMYFUNCTION("""COMPUTED_VALUE"""),"МИНИМУМ")</f>
        <v>МИНИМУМ</v>
      </c>
      <c r="C555" s="4" t="str">
        <f ca="1">IFERROR(__xludf.DUMMYFUNCTION("""COMPUTED_VALUE"""),"RTL15M-1C81")</f>
        <v>RTL15M-1C81</v>
      </c>
      <c r="D555" s="4" t="str">
        <f ca="1">IFERROR(__xludf.DUMMYFUNCTION("""COMPUTED_VALUE"""),"Mobile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о"&amp;"нлайна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("&amp;"одно) моб. устройство, подписка на обновления и обмен через Интернет на 1 (один) год")</f>
        <v>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55" s="4" t="str">
        <f ca="1">IFERROR(__xludf.DUMMYFUNCTION("""COMPUTED_VALUE"""),"Mobile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")</f>
        <v xml:space="preserve">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</v>
      </c>
      <c r="F555" s="5">
        <f ca="1">IFERROR(__xludf.DUMMYFUNCTION("""COMPUTED_VALUE"""),5450)</f>
        <v>5450</v>
      </c>
    </row>
    <row r="556" spans="1:6" ht="86.25" customHeight="1" x14ac:dyDescent="0.2">
      <c r="A556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56" s="4" t="str">
        <f ca="1">IFERROR(__xludf.DUMMYFUNCTION("""COMPUTED_VALUE"""),"БАЗОВЫЙ")</f>
        <v>БАЗОВЫЙ</v>
      </c>
      <c r="C556" s="4" t="str">
        <f ca="1">IFERROR(__xludf.DUMMYFUNCTION("""COMPUTED_VALUE"""),"RTL15A-1C81")</f>
        <v>RTL15A-1C81</v>
      </c>
      <c r="D556" s="4" t="str">
        <f ca="1">IFERROR(__xludf.DUMMYFUNCTION("""COMPUTED_VALUE"""),"Mobile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о"&amp;"нлайна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56" s="4" t="str">
        <f ca="1">IFERROR(__xludf.DUMMYFUNCTION("""COMPUTED_VALUE"""),"Mobile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")</f>
        <v xml:space="preserve">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</v>
      </c>
      <c r="F556" s="5">
        <f ca="1">IFERROR(__xludf.DUMMYFUNCTION("""COMPUTED_VALUE"""),10650)</f>
        <v>10650</v>
      </c>
    </row>
    <row r="557" spans="1:6" ht="86.25" customHeight="1" x14ac:dyDescent="0.2">
      <c r="A557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57" s="4" t="str">
        <f ca="1">IFERROR(__xludf.DUMMYFUNCTION("""COMPUTED_VALUE"""),"РАСШИРЕННЫЙ")</f>
        <v>РАСШИРЕННЫЙ</v>
      </c>
      <c r="C557" s="4" t="str">
        <f ca="1">IFERROR(__xludf.DUMMYFUNCTION("""COMPUTED_VALUE"""),"RTL15B-1C81")</f>
        <v>RTL15B-1C81</v>
      </c>
      <c r="D557" s="4" t="str">
        <f ca="1">IFERROR(__xludf.DUMMYFUNCTION("""COMPUTED_VALUE"""),"Mobile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е"&amp;"сть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57" s="4" t="str">
        <f ca="1">IFERROR(__xludf.DUMMYFUNCTION("""COMPUTED_VALUE"""),"Mobile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")</f>
        <v xml:space="preserve">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</v>
      </c>
      <c r="F557" s="5">
        <f ca="1">IFERROR(__xludf.DUMMYFUNCTION("""COMPUTED_VALUE"""),17050)</f>
        <v>17050</v>
      </c>
    </row>
    <row r="558" spans="1:6" ht="86.25" customHeight="1" x14ac:dyDescent="0.2">
      <c r="A558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58" s="4" t="str">
        <f ca="1">IFERROR(__xludf.DUMMYFUNCTION("""COMPUTED_VALUE"""),"МЕГАМАРКЕТ")</f>
        <v>МЕГАМАРКЕТ</v>
      </c>
      <c r="C558" s="4" t="str">
        <f ca="1">IFERROR(__xludf.DUMMYFUNCTION("""COMPUTED_VALUE"""),"RTL15C-1C81")</f>
        <v>RTL15C-1C81</v>
      </c>
      <c r="D558" s="4" t="str">
        <f ca="1">IFERROR(__xludf.DUMMYFUNCTION("""COMPUTED_VALUE"""),"Mobile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ес"&amp;"ть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коллективна"&amp;"я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58" s="4" t="str">
        <f ca="1">IFERROR(__xludf.DUMMYFUNCTION("""COMPUTED_VALUE"""),"Mobile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")</f>
        <v xml:space="preserve">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</v>
      </c>
      <c r="F558" s="5">
        <f ca="1">IFERROR(__xludf.DUMMYFUNCTION("""COMPUTED_VALUE"""),23550)</f>
        <v>23550</v>
      </c>
    </row>
    <row r="559" spans="1:6" ht="86.25" customHeight="1" x14ac:dyDescent="0.2">
      <c r="A559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59" s="4" t="str">
        <f ca="1">IFERROR(__xludf.DUMMYFUNCTION("""COMPUTED_VALUE"""),"с ЕГАИС, БАЗОВЫЙ")</f>
        <v>с ЕГАИС, БАЗОВЫЙ</v>
      </c>
      <c r="C559" s="4" t="str">
        <f ca="1">IFERROR(__xludf.DUMMYFUNCTION("""COMPUTED_VALUE"""),"RTL15AE-1C81")</f>
        <v>RTL15AE-1C81</v>
      </c>
      <c r="D559" s="4" t="str">
        <f ca="1">IFERROR(__xludf.DUMMYFUNCTION("""COMPUTED_VALUE"""),"Mobile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проводной"&amp;",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справ"&amp;"очников,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устройс"&amp;"тво, подписка на обновления и обмен через Интернет на 1 (один) год")</f>
        <v>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59" s="4" t="str">
        <f ca="1">IFERROR(__xludf.DUMMYFUNCTION("""COMPUTED_VALUE"""),"Mobile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59" s="5">
        <f ca="1">IFERROR(__xludf.DUMMYFUNCTION("""COMPUTED_VALUE"""),13000)</f>
        <v>13000</v>
      </c>
    </row>
    <row r="560" spans="1:6" ht="86.25" customHeight="1" x14ac:dyDescent="0.2">
      <c r="A560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0" s="4" t="str">
        <f ca="1">IFERROR(__xludf.DUMMYFUNCTION("""COMPUTED_VALUE"""),"с ЕГАИС, РАСШИРЕННЫЙ")</f>
        <v>с ЕГАИС, РАСШИРЕННЫЙ</v>
      </c>
      <c r="C560" s="4" t="str">
        <f ca="1">IFERROR(__xludf.DUMMYFUNCTION("""COMPUTED_VALUE"""),"RTL15BE-1C81")</f>
        <v>RTL15BE-1C81</v>
      </c>
      <c r="D560" s="4" t="str">
        <f ca="1">IFERROR(__xludf.DUMMYFUNCTION("""COMPUTED_VALUE"""),"Mobile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прово"&amp;"дной,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с"&amp;"правочников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подпи"&amp;"ска на обновления и обмен через Интернет на 1 (один) год")</f>
        <v>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0" s="4" t="str">
        <f ca="1">IFERROR(__xludf.DUMMYFUNCTION("""COMPUTED_VALUE"""),"Mobile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60" s="5">
        <f ca="1">IFERROR(__xludf.DUMMYFUNCTION("""COMPUTED_VALUE"""),19450)</f>
        <v>19450</v>
      </c>
    </row>
    <row r="561" spans="1:6" ht="86.25" customHeight="1" x14ac:dyDescent="0.2">
      <c r="A561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1" s="4" t="str">
        <f ca="1">IFERROR(__xludf.DUMMYFUNCTION("""COMPUTED_VALUE"""),"с ЕГАИС (без CheckMark2), МЕГАМАРКЕТ")</f>
        <v>с ЕГАИС (без CheckMark2), МЕГАМАРКЕТ</v>
      </c>
      <c r="C561" s="4" t="str">
        <f ca="1">IFERROR(__xludf.DUMMYFUNCTION("""COMPUTED_VALUE"""),"RTL15CEV-1C81")</f>
        <v>RTL15CEV-1C81</v>
      </c>
      <c r="D561" s="4" t="str">
        <f ca="1">IFERROR(__xludf.DUMMYFUNCTION("""COMPUTED_VALUE"""),"Mobile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"&amp;"/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штрихк"&amp;"одов,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/"&amp;" бессрочная лицензия на 1 (одно) моб. устройство, подписка на обновления и обмен через Интернет на 1 (один) год")</f>
        <v>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1" s="4" t="str">
        <f ca="1">IFERROR(__xludf.DUMMYFUNCTION("""COMPUTED_VALUE"""),"Mobile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61" s="5">
        <f ca="1">IFERROR(__xludf.DUMMYFUNCTION("""COMPUTED_VALUE"""),25850)</f>
        <v>25850</v>
      </c>
    </row>
    <row r="562" spans="1:6" ht="86.25" customHeight="1" x14ac:dyDescent="0.2">
      <c r="A562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2" s="4" t="str">
        <f ca="1">IFERROR(__xludf.DUMMYFUNCTION("""COMPUTED_VALUE"""),"с МОТП, БАЗОВЫЙ")</f>
        <v>с МОТП, БАЗОВЫЙ</v>
      </c>
      <c r="C562" s="4" t="str">
        <f ca="1">IFERROR(__xludf.DUMMYFUNCTION("""COMPUTED_VALUE"""),"RTL15AT-1C81")</f>
        <v>RTL15AT-1C81</v>
      </c>
      <c r="D562" s="4" t="str">
        <f ca="1">IFERROR(__xludf.DUMMYFUNCTION("""COMPUTED_VALUE"""),"Mobile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беспрово"&amp;"дной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2" s="4" t="str">
        <f ca="1">IFERROR(__xludf.DUMMYFUNCTION("""COMPUTED_VALUE"""),"Mobile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62" s="5">
        <f ca="1">IFERROR(__xludf.DUMMYFUNCTION("""COMPUTED_VALUE"""),13150)</f>
        <v>13150</v>
      </c>
    </row>
    <row r="563" spans="1:6" ht="86.25" customHeight="1" x14ac:dyDescent="0.2">
      <c r="A563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3" s="4" t="str">
        <f ca="1">IFERROR(__xludf.DUMMYFUNCTION("""COMPUTED_VALUE"""),"с МОТП, РАСШИРЕННЫЙ")</f>
        <v>с МОТП, РАСШИРЕННЫЙ</v>
      </c>
      <c r="C563" s="4" t="str">
        <f ca="1">IFERROR(__xludf.DUMMYFUNCTION("""COMPUTED_VALUE"""),"RTL15BT-1C81")</f>
        <v>RTL15BT-1C81</v>
      </c>
      <c r="D563" s="4" t="str">
        <f ca="1">IFERROR(__xludf.DUMMYFUNCTION("""COMPUTED_VALUE"""),"Mobile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бесп"&amp;"роводной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штрихкод"&amp;"ов,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ус"&amp;"тройство, подписка на обновления и обмен через Интернет на 1 (один) год")</f>
        <v>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3" s="4" t="str">
        <f ca="1">IFERROR(__xludf.DUMMYFUNCTION("""COMPUTED_VALUE"""),"Mobile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63" s="5">
        <f ca="1">IFERROR(__xludf.DUMMYFUNCTION("""COMPUTED_VALUE"""),19450)</f>
        <v>19450</v>
      </c>
    </row>
    <row r="564" spans="1:6" ht="86.25" customHeight="1" x14ac:dyDescent="0.2">
      <c r="A564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4" s="4" t="str">
        <f ca="1">IFERROR(__xludf.DUMMYFUNCTION("""COMPUTED_VALUE"""),"с МОТП, МЕГАМАРКЕТ")</f>
        <v>с МОТП, МЕГАМАРКЕТ</v>
      </c>
      <c r="C564" s="4" t="str">
        <f ca="1">IFERROR(__xludf.DUMMYFUNCTION("""COMPUTED_VALUE"""),"RTL15CT-1C81")</f>
        <v>RTL15CT-1C81</v>
      </c>
      <c r="D564" s="4" t="str">
        <f ca="1">IFERROR(__xludf.DUMMYFUNCTION("""COMPUTED_VALUE"""),"Mobile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беспр"&amp;"оводной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штрихкодо"&amp;"в,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лицензия"&amp;" на 1 (одно) моб. устройство, подписка на обновления и обмен через Интернет на 1 (один) год")</f>
        <v>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4" s="4" t="str">
        <f ca="1">IFERROR(__xludf.DUMMYFUNCTION("""COMPUTED_VALUE"""),"Mobile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64" s="5">
        <f ca="1">IFERROR(__xludf.DUMMYFUNCTION("""COMPUTED_VALUE"""),25850)</f>
        <v>25850</v>
      </c>
    </row>
    <row r="565" spans="1:6" ht="86.25" customHeight="1" x14ac:dyDescent="0.2">
      <c r="A565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5" s="4" t="str">
        <f ca="1">IFERROR(__xludf.DUMMYFUNCTION("""COMPUTED_VALUE"""),"с ЕГАИС и МОТП, БАЗОВЫЙ")</f>
        <v>с ЕГАИС и МОТП, БАЗОВЫЙ</v>
      </c>
      <c r="C565" s="4" t="str">
        <f ca="1">IFERROR(__xludf.DUMMYFUNCTION("""COMPUTED_VALUE"""),"RTL15AET-1C81")</f>
        <v>RTL15AET-1C81</v>
      </c>
      <c r="D565" s="4" t="str">
        <f ca="1">IFERROR(__xludf.DUMMYFUNCTION("""COMPUTED_VALUE"""),"Mobile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п"&amp;"роводной,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"&amp;"списание,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5" s="4" t="str">
        <f ca="1">IFERROR(__xludf.DUMMYFUNCTION("""COMPUTED_VALUE"""),"Mobile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65" s="5">
        <f ca="1">IFERROR(__xludf.DUMMYFUNCTION("""COMPUTED_VALUE"""),14150)</f>
        <v>14150</v>
      </c>
    </row>
    <row r="566" spans="1:6" ht="86.25" customHeight="1" x14ac:dyDescent="0.2">
      <c r="A566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6" s="4" t="str">
        <f ca="1">IFERROR(__xludf.DUMMYFUNCTION("""COMPUTED_VALUE"""),"с ЕГАИС и МОТП, РАСШИРЕННЫЙ")</f>
        <v>с ЕГАИС и МОТП, РАСШИРЕННЫЙ</v>
      </c>
      <c r="C566" s="4" t="str">
        <f ca="1">IFERROR(__xludf.DUMMYFUNCTION("""COMPUTED_VALUE"""),"RTL15BET-1C81")</f>
        <v>RTL15BET-1C81</v>
      </c>
      <c r="D566" s="4" t="str">
        <f ca="1">IFERROR(__xludf.DUMMYFUNCTION("""COMPUTED_VALUE"""),"Mobile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6" s="4" t="str">
        <f ca="1">IFERROR(__xludf.DUMMYFUNCTION("""COMPUTED_VALUE"""),"Mobile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66" s="5">
        <f ca="1">IFERROR(__xludf.DUMMYFUNCTION("""COMPUTED_VALUE"""),20550)</f>
        <v>20550</v>
      </c>
    </row>
    <row r="567" spans="1:6" ht="86.25" customHeight="1" x14ac:dyDescent="0.2">
      <c r="A567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7" s="4" t="str">
        <f ca="1">IFERROR(__xludf.DUMMYFUNCTION("""COMPUTED_VALUE"""),"с ЕГАИС и МОТП, МЕГАМАРКЕТ")</f>
        <v>с ЕГАИС и МОТП, МЕГАМАРКЕТ</v>
      </c>
      <c r="C567" s="4" t="str">
        <f ca="1">IFERROR(__xludf.DUMMYFUNCTION("""COMPUTED_VALUE"""),"RTL15CET-1C81")</f>
        <v>RTL15CET-1C81</v>
      </c>
      <c r="D567" s="4" t="str">
        <f ca="1">IFERROR(__xludf.DUMMYFUNCTION("""COMPUTED_VALUE"""),"Mobile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выбо"&amp;"р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7" s="4" t="str">
        <f ca="1">IFERROR(__xludf.DUMMYFUNCTION("""COMPUTED_VALUE"""),"Mobile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67" s="5">
        <f ca="1">IFERROR(__xludf.DUMMYFUNCTION("""COMPUTED_VALUE"""),28350)</f>
        <v>28350</v>
      </c>
    </row>
    <row r="568" spans="1:6" ht="86.25" customHeight="1" x14ac:dyDescent="0.2">
      <c r="A568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8" s="4" t="str">
        <f ca="1">IFERROR(__xludf.DUMMYFUNCTION("""COMPUTED_VALUE"""),"ШМОТКИ, БАЗОВЫЙ")</f>
        <v>ШМОТКИ, БАЗОВЫЙ</v>
      </c>
      <c r="C568" s="4" t="str">
        <f ca="1">IFERROR(__xludf.DUMMYFUNCTION("""COMPUTED_VALUE"""),"RTL15AK-1C81")</f>
        <v>RTL15AK-1C81</v>
      </c>
      <c r="D568" s="4" t="str">
        <f ca="1">IFERROR(__xludf.DUMMYFUNCTION("""COMPUTED_VALUE"""),"Mobile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выб"&amp;"ор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и обмен через Интернет на 1 (один) год")</f>
        <v>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8" s="4" t="str">
        <f ca="1">IFERROR(__xludf.DUMMYFUNCTION("""COMPUTED_VALUE"""),"Mobile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")</f>
        <v xml:space="preserve">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68" s="5">
        <f ca="1">IFERROR(__xludf.DUMMYFUNCTION("""COMPUTED_VALUE"""),14150)</f>
        <v>14150</v>
      </c>
    </row>
    <row r="569" spans="1:6" ht="86.25" customHeight="1" x14ac:dyDescent="0.2">
      <c r="A569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9" s="4" t="str">
        <f ca="1">IFERROR(__xludf.DUMMYFUNCTION("""COMPUTED_VALUE"""),"ШМОТКИ, РАСШИРЕННЫЙ")</f>
        <v>ШМОТКИ, РАСШИРЕННЫЙ</v>
      </c>
      <c r="C569" s="4" t="str">
        <f ca="1">IFERROR(__xludf.DUMMYFUNCTION("""COMPUTED_VALUE"""),"RTL15BK-1C81")</f>
        <v>RTL15BK-1C81</v>
      </c>
      <c r="D569" s="4" t="str">
        <f ca="1">IFERROR(__xludf.DUMMYFUNCTION("""COMPUTED_VALUE"""),"Mobile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на"&amp;"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пере"&amp;"мещение,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лиценз"&amp;"ия на 1 (одно) моб. устройство, подписка на обновления и обмен через Интернет на 1 (один) год")</f>
        <v>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9" s="4" t="str">
        <f ca="1">IFERROR(__xludf.DUMMYFUNCTION("""COMPUTED_VALUE"""),"Mobile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")</f>
        <v xml:space="preserve">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69" s="5">
        <f ca="1">IFERROR(__xludf.DUMMYFUNCTION("""COMPUTED_VALUE"""),20550)</f>
        <v>20550</v>
      </c>
    </row>
    <row r="570" spans="1:6" ht="86.25" customHeight="1" x14ac:dyDescent="0.2">
      <c r="A570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0" s="4" t="str">
        <f ca="1">IFERROR(__xludf.DUMMYFUNCTION("""COMPUTED_VALUE"""),"ШМОТКИ, МЕГАМАРКЕТ")</f>
        <v>ШМОТКИ, МЕГАМАРКЕТ</v>
      </c>
      <c r="C570" s="4" t="str">
        <f ca="1">IFERROR(__xludf.DUMMYFUNCTION("""COMPUTED_VALUE"""),"RTL15CK-1C81")</f>
        <v>RTL15CK-1C81</v>
      </c>
      <c r="D570" s="4" t="str">
        <f ca="1">IFERROR(__xludf.DUMMYFUNCTION("""COMPUTED_VALUE"""),"Mobile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бес"&amp;"проводной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лиценз"&amp;"ия на 1 (одно) моб. устройство, подписка на обновления и обмен через Интернет на 1 (один) год")</f>
        <v>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0" s="4" t="str">
        <f ca="1">IFERROR(__xludf.DUMMYFUNCTION("""COMPUTED_VALUE"""),"Mobile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")</f>
        <v xml:space="preserve">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</v>
      </c>
      <c r="F570" s="5">
        <f ca="1">IFERROR(__xludf.DUMMYFUNCTION("""COMPUTED_VALUE"""),28350)</f>
        <v>28350</v>
      </c>
    </row>
    <row r="571" spans="1:6" ht="86.25" customHeight="1" x14ac:dyDescent="0.2">
      <c r="A571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1" s="4" t="str">
        <f ca="1">IFERROR(__xludf.DUMMYFUNCTION("""COMPUTED_VALUE"""),"с МДЛП, БАЗОВЫЙ")</f>
        <v>с МДЛП, БАЗОВЫЙ</v>
      </c>
      <c r="C571" s="4" t="str">
        <f ca="1">IFERROR(__xludf.DUMMYFUNCTION("""COMPUTED_VALUE"""),"RTL15AL-1C81")</f>
        <v>RTL15AL-1C81</v>
      </c>
      <c r="D571" s="4" t="str">
        <f ca="1">IFERROR(__xludf.DUMMYFUNCTION("""COMPUTED_VALUE"""),"Mobile SMARTS: Магазин 15 с МДЛП,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проводн"&amp;"ой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прос"&amp;"мотр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на 1 (один) год")</f>
        <v>Mobile SMARTS: Магазин 15 с МДЛП,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71" s="4" t="str">
        <f ca="1">IFERROR(__xludf.DUMMYFUNCTION("""COMPUTED_VALUE"""),"Mobile SMARTS: Магазин 15 с МДЛП, БАЗОВЫЙ для конфигурации на базе «1С:Предприятия 8.1» ")</f>
        <v xml:space="preserve">Mobile SMARTS: Магазин 15 с МДЛП, БАЗОВЫЙ для конфигурации на базе «1С:Предприятия 8.1» </v>
      </c>
      <c r="F571" s="5">
        <f ca="1">IFERROR(__xludf.DUMMYFUNCTION("""COMPUTED_VALUE"""),10458)</f>
        <v>10458</v>
      </c>
    </row>
    <row r="572" spans="1:6" ht="86.25" customHeight="1" x14ac:dyDescent="0.2">
      <c r="A572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2" s="4" t="str">
        <f ca="1">IFERROR(__xludf.DUMMYFUNCTION("""COMPUTED_VALUE"""),"с МДЛП, РАСШИРЕННЫЙ")</f>
        <v>с МДЛП, РАСШИРЕННЫЙ</v>
      </c>
      <c r="C572" s="4" t="str">
        <f ca="1">IFERROR(__xludf.DUMMYFUNCTION("""COMPUTED_VALUE"""),"RTL15BL-1C81")</f>
        <v>RTL15BL-1C81</v>
      </c>
      <c r="D572" s="4" t="str">
        <f ca="1">IFERROR(__xludf.DUMMYFUNCTION("""COMPUTED_VALUE"""),"Mobile SMARTS: Магазин 15 с МДЛП,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про"&amp;"водной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на 1 (один) год")</f>
        <v>Mobile SMARTS: Магазин 15 с МДЛП,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72" s="4" t="str">
        <f ca="1">IFERROR(__xludf.DUMMYFUNCTION("""COMPUTED_VALUE"""),"Mobile SMARTS: Магазин 15 с МДЛП, РАСШИРЕННЫЙ для конфигурации на базе «1С:Предприятия 8.1» ")</f>
        <v xml:space="preserve">Mobile SMARTS: Магазин 15 с МДЛП, РАСШИРЕННЫЙ для конфигурации на базе «1С:Предприятия 8.1» </v>
      </c>
      <c r="F572" s="5">
        <f ca="1">IFERROR(__xludf.DUMMYFUNCTION("""COMPUTED_VALUE"""),15378)</f>
        <v>15378</v>
      </c>
    </row>
    <row r="573" spans="1:6" ht="86.25" customHeight="1" x14ac:dyDescent="0.2">
      <c r="A573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3" s="4" t="str">
        <f ca="1">IFERROR(__xludf.DUMMYFUNCTION("""COMPUTED_VALUE"""),"с МДЛП, МЕГАМАРКЕТ")</f>
        <v>с МДЛП, МЕГАМАРКЕТ</v>
      </c>
      <c r="C573" s="4" t="str">
        <f ca="1">IFERROR(__xludf.DUMMYFUNCTION("""COMPUTED_VALUE"""),"RTL15CL-1C81")</f>
        <v>RTL15CL-1C81</v>
      </c>
      <c r="D573" s="4" t="str">
        <f ca="1">IFERROR(__xludf.DUMMYFUNCTION("""COMPUTED_VALUE"""),"Mobile SMARTS: Магазин 15 с МДЛП,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пров"&amp;"одной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п"&amp;"росмотр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устро"&amp;"йство, подписка на обновления на 1 (один) год")</f>
        <v>Mobile SMARTS: Магазин 15 с МДЛП,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73" s="4" t="str">
        <f ca="1">IFERROR(__xludf.DUMMYFUNCTION("""COMPUTED_VALUE"""),"Mobile SMARTS: Магазин 15 с МДЛП, МЕГАМАРКЕТ для конфигурации на базе «1С:Предприятия 8.1» ")</f>
        <v xml:space="preserve">Mobile SMARTS: Магазин 15 с МДЛП, МЕГАМАРКЕТ для конфигурации на базе «1С:Предприятия 8.1» </v>
      </c>
      <c r="F573" s="5">
        <f ca="1">IFERROR(__xludf.DUMMYFUNCTION("""COMPUTED_VALUE"""),22698)</f>
        <v>22698</v>
      </c>
    </row>
    <row r="574" spans="1:6" ht="86.25" customHeight="1" x14ac:dyDescent="0.2">
      <c r="A574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4" s="4" t="str">
        <f ca="1">IFERROR(__xludf.DUMMYFUNCTION("""COMPUTED_VALUE"""),"ПРОДУКТОВЫЙ, БАЗОВЫЙ")</f>
        <v>ПРОДУКТОВЫЙ, БАЗОВЫЙ</v>
      </c>
      <c r="C574" s="4" t="str">
        <f ca="1">IFERROR(__xludf.DUMMYFUNCTION("""COMPUTED_VALUE"""),"RTL15AG-1C81")</f>
        <v>RTL15AG-1C81</v>
      </c>
      <c r="D574" s="4" t="str">
        <f ca="1">IFERROR(__xludf.DUMMYFUNCTION("""COMPUTED_VALUE"""),"Mobile SMARTS: Магазин 15 ПРОДУКТОВЫЙ,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П"&amp;"АРФЮМ,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с"&amp;"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тов"&amp;"аре,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74" s="4" t="str">
        <f ca="1">IFERROR(__xludf.DUMMYFUNCTION("""COMPUTED_VALUE"""),"Mobile SMARTS: Магазин 15 ПРОДУКТОВЫЙ, БАЗОВЫЙ для конфигурации на базе «1С:Предприятия 8.1» ")</f>
        <v xml:space="preserve">Mobile SMARTS: Магазин 15 ПРОДУКТОВЫЙ, БАЗОВЫЙ для конфигурации на базе «1С:Предприятия 8.1» </v>
      </c>
      <c r="F574" s="5">
        <f ca="1">IFERROR(__xludf.DUMMYFUNCTION("""COMPUTED_VALUE"""),13158)</f>
        <v>13158</v>
      </c>
    </row>
    <row r="575" spans="1:6" ht="86.25" customHeight="1" x14ac:dyDescent="0.2">
      <c r="A575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5" s="4" t="str">
        <f ca="1">IFERROR(__xludf.DUMMYFUNCTION("""COMPUTED_VALUE"""),"ПРОДУКТОВЫЙ, РАСШИРЕННЫЙ")</f>
        <v>ПРОДУКТОВЫЙ, РАСШИРЕННЫЙ</v>
      </c>
      <c r="C575" s="4" t="str">
        <f ca="1">IFERROR(__xludf.DUMMYFUNCTION("""COMPUTED_VALUE"""),"RTL15BG-1C81")</f>
        <v>RTL15BG-1C81</v>
      </c>
      <c r="D575" s="4" t="str">
        <f ca="1">IFERROR(__xludf.DUMMYFUNCTION("""COMPUTED_VALUE"""),"Mobile SMARTS: Магазин 15 ПРОДУКТОВЫЙ,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ОБУВ"&amp;"Ь,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75" s="4" t="str">
        <f ca="1">IFERROR(__xludf.DUMMYFUNCTION("""COMPUTED_VALUE"""),"Mobile SMARTS: Магазин 15 ПРОДУКТОВЫЙ, РАСШИРЕННЫЙ для конфигурации на базе «1С:Предприятия 8.1» ")</f>
        <v xml:space="preserve">Mobile SMARTS: Магазин 15 ПРОДУКТОВЫЙ, РАСШИРЕННЫЙ для конфигурации на базе «1С:Предприятия 8.1» </v>
      </c>
      <c r="F575" s="5">
        <f ca="1">IFERROR(__xludf.DUMMYFUNCTION("""COMPUTED_VALUE"""),18078)</f>
        <v>18078</v>
      </c>
    </row>
    <row r="576" spans="1:6" ht="86.25" customHeight="1" x14ac:dyDescent="0.2">
      <c r="A576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6" s="4" t="str">
        <f ca="1">IFERROR(__xludf.DUMMYFUNCTION("""COMPUTED_VALUE"""),"ПРОДУКТОВЫЙ, МЕГАМАРКЕТ")</f>
        <v>ПРОДУКТОВЫЙ, МЕГАМАРКЕТ</v>
      </c>
      <c r="C576" s="4" t="str">
        <f ca="1">IFERROR(__xludf.DUMMYFUNCTION("""COMPUTED_VALUE"""),"RTL15CG-1C81")</f>
        <v>RTL15CG-1C81</v>
      </c>
      <c r="D576" s="4" t="str">
        <f ca="1">IFERROR(__xludf.DUMMYFUNCTION("""COMPUTED_VALUE"""),"Mobile SMARTS: Магазин 15 ПРОДУКТОВЫЙ,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ОБУВЬ"&amp;",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т.ч"&amp;".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"&amp;"работа,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76" s="4" t="str">
        <f ca="1">IFERROR(__xludf.DUMMYFUNCTION("""COMPUTED_VALUE"""),"Mobile SMARTS: Магазин 15 ПРОДУКТОВЫЙ, МЕГАМАРКЕТ для конфигурации на базе «1С:Предприятия 8.1» ")</f>
        <v xml:space="preserve">Mobile SMARTS: Магазин 15 ПРОДУКТОВЫЙ, МЕГАМАРКЕТ для конфигурации на базе «1С:Предприятия 8.1» </v>
      </c>
      <c r="F576" s="5">
        <f ca="1">IFERROR(__xludf.DUMMYFUNCTION("""COMPUTED_VALUE"""),30169)</f>
        <v>30169</v>
      </c>
    </row>
    <row r="577" spans="1:6" ht="86.25" customHeight="1" x14ac:dyDescent="0.2">
      <c r="A577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77" s="4" t="str">
        <f ca="1">IFERROR(__xludf.DUMMYFUNCTION("""COMPUTED_VALUE"""),"МИНИМУМ")</f>
        <v>МИНИМУМ</v>
      </c>
      <c r="C577" s="4" t="str">
        <f ca="1">IFERROR(__xludf.DUMMYFUNCTION("""COMPUTED_VALUE"""),"RTL15M-1C82")</f>
        <v>RTL15M-1C82</v>
      </c>
      <c r="D577" s="4" t="str">
        <f ca="1">IFERROR(__xludf.DUMMYFUNCTION("""COMPUTED_VALUE"""),"Mobile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о"&amp;"нлайна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("&amp;"одно) моб. устройство, подписка на обновления и обмен через Интернет на 1 (один) год")</f>
        <v>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77" s="4" t="str">
        <f ca="1">IFERROR(__xludf.DUMMYFUNCTION("""COMPUTED_VALUE"""),"Mobile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")</f>
        <v xml:space="preserve">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</v>
      </c>
      <c r="F577" s="5">
        <f ca="1">IFERROR(__xludf.DUMMYFUNCTION("""COMPUTED_VALUE"""),5450)</f>
        <v>5450</v>
      </c>
    </row>
    <row r="578" spans="1:6" ht="86.25" customHeight="1" x14ac:dyDescent="0.2">
      <c r="A578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78" s="4" t="str">
        <f ca="1">IFERROR(__xludf.DUMMYFUNCTION("""COMPUTED_VALUE"""),"БАЗОВЫЙ")</f>
        <v>БАЗОВЫЙ</v>
      </c>
      <c r="C578" s="4" t="str">
        <f ca="1">IFERROR(__xludf.DUMMYFUNCTION("""COMPUTED_VALUE"""),"RTL15A-1C82")</f>
        <v>RTL15A-1C82</v>
      </c>
      <c r="D578" s="4" t="str">
        <f ca="1">IFERROR(__xludf.DUMMYFUNCTION("""COMPUTED_VALUE"""),"Mobile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о"&amp;"нлайна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8" s="4" t="str">
        <f ca="1">IFERROR(__xludf.DUMMYFUNCTION("""COMPUTED_VALUE"""),"Mobile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")</f>
        <v xml:space="preserve">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</v>
      </c>
      <c r="F578" s="5">
        <f ca="1">IFERROR(__xludf.DUMMYFUNCTION("""COMPUTED_VALUE"""),10650)</f>
        <v>10650</v>
      </c>
    </row>
    <row r="579" spans="1:6" ht="86.25" customHeight="1" x14ac:dyDescent="0.2">
      <c r="A579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79" s="4" t="str">
        <f ca="1">IFERROR(__xludf.DUMMYFUNCTION("""COMPUTED_VALUE"""),"РАСШИРЕННЫЙ")</f>
        <v>РАСШИРЕННЫЙ</v>
      </c>
      <c r="C579" s="4" t="str">
        <f ca="1">IFERROR(__xludf.DUMMYFUNCTION("""COMPUTED_VALUE"""),"RTL15B-1C82")</f>
        <v>RTL15B-1C82</v>
      </c>
      <c r="D579" s="4" t="str">
        <f ca="1">IFERROR(__xludf.DUMMYFUNCTION("""COMPUTED_VALUE"""),"Mobile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е"&amp;"сть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9" s="4" t="str">
        <f ca="1">IFERROR(__xludf.DUMMYFUNCTION("""COMPUTED_VALUE"""),"Mobile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")</f>
        <v xml:space="preserve">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</v>
      </c>
      <c r="F579" s="5">
        <f ca="1">IFERROR(__xludf.DUMMYFUNCTION("""COMPUTED_VALUE"""),17050)</f>
        <v>17050</v>
      </c>
    </row>
    <row r="580" spans="1:6" ht="86.25" customHeight="1" x14ac:dyDescent="0.2">
      <c r="A580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0" s="4" t="str">
        <f ca="1">IFERROR(__xludf.DUMMYFUNCTION("""COMPUTED_VALUE"""),"МЕГАМАРКЕТ")</f>
        <v>МЕГАМАРКЕТ</v>
      </c>
      <c r="C580" s="4" t="str">
        <f ca="1">IFERROR(__xludf.DUMMYFUNCTION("""COMPUTED_VALUE"""),"RTL15C-1C82")</f>
        <v>RTL15C-1C82</v>
      </c>
      <c r="D580" s="4" t="str">
        <f ca="1">IFERROR(__xludf.DUMMYFUNCTION("""COMPUTED_VALUE"""),"Mobile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ес"&amp;"ть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коллективна"&amp;"я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0" s="4" t="str">
        <f ca="1">IFERROR(__xludf.DUMMYFUNCTION("""COMPUTED_VALUE"""),"Mobile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")</f>
        <v xml:space="preserve">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</v>
      </c>
      <c r="F580" s="5">
        <f ca="1">IFERROR(__xludf.DUMMYFUNCTION("""COMPUTED_VALUE"""),23550)</f>
        <v>23550</v>
      </c>
    </row>
    <row r="581" spans="1:6" ht="86.25" customHeight="1" x14ac:dyDescent="0.2">
      <c r="A581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1" s="4" t="str">
        <f ca="1">IFERROR(__xludf.DUMMYFUNCTION("""COMPUTED_VALUE"""),"с ЕГАИС, БАЗОВЫЙ")</f>
        <v>с ЕГАИС, БАЗОВЫЙ</v>
      </c>
      <c r="C581" s="4" t="str">
        <f ca="1">IFERROR(__xludf.DUMMYFUNCTION("""COMPUTED_VALUE"""),"RTL15AE-1C82")</f>
        <v>RTL15AE-1C82</v>
      </c>
      <c r="D581" s="4" t="str">
        <f ca="1">IFERROR(__xludf.DUMMYFUNCTION("""COMPUTED_VALUE"""),"Mobile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проводной"&amp;",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справ"&amp;"очников,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устройс"&amp;"тво, подписка на обновления и обмен через Интернет на 1 (один) год")</f>
        <v>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81" s="4" t="str">
        <f ca="1">IFERROR(__xludf.DUMMYFUNCTION("""COMPUTED_VALUE"""),"Mobile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81" s="5">
        <f ca="1">IFERROR(__xludf.DUMMYFUNCTION("""COMPUTED_VALUE"""),13000)</f>
        <v>13000</v>
      </c>
    </row>
    <row r="582" spans="1:6" ht="86.25" customHeight="1" x14ac:dyDescent="0.2">
      <c r="A582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2" s="4" t="str">
        <f ca="1">IFERROR(__xludf.DUMMYFUNCTION("""COMPUTED_VALUE"""),"с ЕГАИС, РАСШИРЕННЫЙ")</f>
        <v>с ЕГАИС, РАСШИРЕННЫЙ</v>
      </c>
      <c r="C582" s="4" t="str">
        <f ca="1">IFERROR(__xludf.DUMMYFUNCTION("""COMPUTED_VALUE"""),"RTL15BE-1C82")</f>
        <v>RTL15BE-1C82</v>
      </c>
      <c r="D582" s="4" t="str">
        <f ca="1">IFERROR(__xludf.DUMMYFUNCTION("""COMPUTED_VALUE"""),"Mobile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прово"&amp;"дной,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с"&amp;"правочников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подпи"&amp;"ска на обновления и обмен через Интернет на 1 (один) год")</f>
        <v>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2" s="4" t="str">
        <f ca="1">IFERROR(__xludf.DUMMYFUNCTION("""COMPUTED_VALUE"""),"Mobile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82" s="5">
        <f ca="1">IFERROR(__xludf.DUMMYFUNCTION("""COMPUTED_VALUE"""),19450)</f>
        <v>19450</v>
      </c>
    </row>
    <row r="583" spans="1:6" ht="86.25" customHeight="1" x14ac:dyDescent="0.2">
      <c r="A583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3" s="4" t="str">
        <f ca="1">IFERROR(__xludf.DUMMYFUNCTION("""COMPUTED_VALUE"""),"с ЕГАИС (без CheckMark2), МЕГАМАРКЕТ")</f>
        <v>с ЕГАИС (без CheckMark2), МЕГАМАРКЕТ</v>
      </c>
      <c r="C583" s="4" t="str">
        <f ca="1">IFERROR(__xludf.DUMMYFUNCTION("""COMPUTED_VALUE"""),"RTL15CEV-1C82")</f>
        <v>RTL15CEV-1C82</v>
      </c>
      <c r="D583" s="4" t="str">
        <f ca="1">IFERROR(__xludf.DUMMYFUNCTION("""COMPUTED_VALUE"""),"Mobile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"&amp;"/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штрихк"&amp;"одов,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/"&amp;" бессрочная лицензия на 1 (одно) моб. устройство, подписка на обновления и обмен через Интернет на 1 (один) год")</f>
        <v>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3" s="4" t="str">
        <f ca="1">IFERROR(__xludf.DUMMYFUNCTION("""COMPUTED_VALUE"""),"Mobile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83" s="5">
        <f ca="1">IFERROR(__xludf.DUMMYFUNCTION("""COMPUTED_VALUE"""),25850)</f>
        <v>25850</v>
      </c>
    </row>
    <row r="584" spans="1:6" ht="86.25" customHeight="1" x14ac:dyDescent="0.2">
      <c r="A584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4" s="4" t="str">
        <f ca="1">IFERROR(__xludf.DUMMYFUNCTION("""COMPUTED_VALUE"""),"с МОТП, БАЗОВЫЙ")</f>
        <v>с МОТП, БАЗОВЫЙ</v>
      </c>
      <c r="C584" s="4" t="str">
        <f ca="1">IFERROR(__xludf.DUMMYFUNCTION("""COMPUTED_VALUE"""),"RTL15AT-1C82")</f>
        <v>RTL15AT-1C82</v>
      </c>
      <c r="D584" s="4" t="str">
        <f ca="1">IFERROR(__xludf.DUMMYFUNCTION("""COMPUTED_VALUE"""),"Mobile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беспрово"&amp;"дной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4" s="4" t="str">
        <f ca="1">IFERROR(__xludf.DUMMYFUNCTION("""COMPUTED_VALUE"""),"Mobile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84" s="5">
        <f ca="1">IFERROR(__xludf.DUMMYFUNCTION("""COMPUTED_VALUE"""),13150)</f>
        <v>13150</v>
      </c>
    </row>
    <row r="585" spans="1:6" ht="86.25" customHeight="1" x14ac:dyDescent="0.2">
      <c r="A585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5" s="4" t="str">
        <f ca="1">IFERROR(__xludf.DUMMYFUNCTION("""COMPUTED_VALUE"""),"с МОТП, РАСШИРЕННЫЙ")</f>
        <v>с МОТП, РАСШИРЕННЫЙ</v>
      </c>
      <c r="C585" s="4" t="str">
        <f ca="1">IFERROR(__xludf.DUMMYFUNCTION("""COMPUTED_VALUE"""),"RTL15BT-1C82")</f>
        <v>RTL15BT-1C82</v>
      </c>
      <c r="D585" s="4" t="str">
        <f ca="1">IFERROR(__xludf.DUMMYFUNCTION("""COMPUTED_VALUE"""),"Mobile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бесп"&amp;"роводной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штрихкод"&amp;"ов,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ус"&amp;"тройство, подписка на обновления и обмен через Интернет на 1 (один) год")</f>
        <v>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5" s="4" t="str">
        <f ca="1">IFERROR(__xludf.DUMMYFUNCTION("""COMPUTED_VALUE"""),"Mobile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85" s="5">
        <f ca="1">IFERROR(__xludf.DUMMYFUNCTION("""COMPUTED_VALUE"""),19450)</f>
        <v>19450</v>
      </c>
    </row>
    <row r="586" spans="1:6" ht="86.25" customHeight="1" x14ac:dyDescent="0.2">
      <c r="A586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6" s="4" t="str">
        <f ca="1">IFERROR(__xludf.DUMMYFUNCTION("""COMPUTED_VALUE"""),"с МОТП, МЕГАМАРКЕТ")</f>
        <v>с МОТП, МЕГАМАРКЕТ</v>
      </c>
      <c r="C586" s="4" t="str">
        <f ca="1">IFERROR(__xludf.DUMMYFUNCTION("""COMPUTED_VALUE"""),"RTL15CT-1C82")</f>
        <v>RTL15CT-1C82</v>
      </c>
      <c r="D586" s="4" t="str">
        <f ca="1">IFERROR(__xludf.DUMMYFUNCTION("""COMPUTED_VALUE"""),"Mobile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беспр"&amp;"оводной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штрихкодо"&amp;"в,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лицензия"&amp;" на 1 (одно) моб. устройство, подписка на обновления и обмен через Интернет на 1 (один) год")</f>
        <v>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6" s="4" t="str">
        <f ca="1">IFERROR(__xludf.DUMMYFUNCTION("""COMPUTED_VALUE"""),"Mobile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86" s="5">
        <f ca="1">IFERROR(__xludf.DUMMYFUNCTION("""COMPUTED_VALUE"""),25850)</f>
        <v>25850</v>
      </c>
    </row>
    <row r="587" spans="1:6" ht="86.25" customHeight="1" x14ac:dyDescent="0.2">
      <c r="A587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7" s="4" t="str">
        <f ca="1">IFERROR(__xludf.DUMMYFUNCTION("""COMPUTED_VALUE"""),"с ЕГАИС и МОТП, БАЗОВЫЙ")</f>
        <v>с ЕГАИС и МОТП, БАЗОВЫЙ</v>
      </c>
      <c r="C587" s="4" t="str">
        <f ca="1">IFERROR(__xludf.DUMMYFUNCTION("""COMPUTED_VALUE"""),"RTL15AET-1C82")</f>
        <v>RTL15AET-1C82</v>
      </c>
      <c r="D587" s="4" t="str">
        <f ca="1">IFERROR(__xludf.DUMMYFUNCTION("""COMPUTED_VALUE"""),"Mobile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п"&amp;"роводной,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"&amp;"списание,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7" s="4" t="str">
        <f ca="1">IFERROR(__xludf.DUMMYFUNCTION("""COMPUTED_VALUE"""),"Mobile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87" s="5">
        <f ca="1">IFERROR(__xludf.DUMMYFUNCTION("""COMPUTED_VALUE"""),14150)</f>
        <v>14150</v>
      </c>
    </row>
    <row r="588" spans="1:6" ht="86.25" customHeight="1" x14ac:dyDescent="0.2">
      <c r="A588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8" s="4" t="str">
        <f ca="1">IFERROR(__xludf.DUMMYFUNCTION("""COMPUTED_VALUE"""),"с ЕГАИС и МОТП, РАСШИРЕННЫЙ")</f>
        <v>с ЕГАИС и МОТП, РАСШИРЕННЫЙ</v>
      </c>
      <c r="C588" s="4" t="str">
        <f ca="1">IFERROR(__xludf.DUMMYFUNCTION("""COMPUTED_VALUE"""),"RTL15BET-1C82")</f>
        <v>RTL15BET-1C82</v>
      </c>
      <c r="D588" s="4" t="str">
        <f ca="1">IFERROR(__xludf.DUMMYFUNCTION("""COMPUTED_VALUE"""),"Mobile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8" s="4" t="str">
        <f ca="1">IFERROR(__xludf.DUMMYFUNCTION("""COMPUTED_VALUE"""),"Mobile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88" s="5">
        <f ca="1">IFERROR(__xludf.DUMMYFUNCTION("""COMPUTED_VALUE"""),20550)</f>
        <v>20550</v>
      </c>
    </row>
    <row r="589" spans="1:6" ht="86.25" customHeight="1" x14ac:dyDescent="0.2">
      <c r="A589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9" s="4" t="str">
        <f ca="1">IFERROR(__xludf.DUMMYFUNCTION("""COMPUTED_VALUE"""),"с ЕГАИС и МОТП, МЕГАМАРКЕТ")</f>
        <v>с ЕГАИС и МОТП, МЕГАМАРКЕТ</v>
      </c>
      <c r="C589" s="4" t="str">
        <f ca="1">IFERROR(__xludf.DUMMYFUNCTION("""COMPUTED_VALUE"""),"RTL15CET-1C82")</f>
        <v>RTL15CET-1C82</v>
      </c>
      <c r="D589" s="4" t="str">
        <f ca="1">IFERROR(__xludf.DUMMYFUNCTION("""COMPUTED_VALUE"""),"Mobile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выбо"&amp;"р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9" s="4" t="str">
        <f ca="1">IFERROR(__xludf.DUMMYFUNCTION("""COMPUTED_VALUE"""),"Mobile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89" s="5">
        <f ca="1">IFERROR(__xludf.DUMMYFUNCTION("""COMPUTED_VALUE"""),28350)</f>
        <v>28350</v>
      </c>
    </row>
    <row r="590" spans="1:6" ht="86.25" customHeight="1" x14ac:dyDescent="0.2">
      <c r="A590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0" s="4" t="str">
        <f ca="1">IFERROR(__xludf.DUMMYFUNCTION("""COMPUTED_VALUE"""),"ШМОТКИ, БАЗОВЫЙ")</f>
        <v>ШМОТКИ, БАЗОВЫЙ</v>
      </c>
      <c r="C590" s="4" t="str">
        <f ca="1">IFERROR(__xludf.DUMMYFUNCTION("""COMPUTED_VALUE"""),"RTL15AK-1C82")</f>
        <v>RTL15AK-1C82</v>
      </c>
      <c r="D590" s="4" t="str">
        <f ca="1">IFERROR(__xludf.DUMMYFUNCTION("""COMPUTED_VALUE"""),"Mobile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выб"&amp;"ор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и обмен через Интернет на 1 (один) год")</f>
        <v>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0" s="4" t="str">
        <f ca="1">IFERROR(__xludf.DUMMYFUNCTION("""COMPUTED_VALUE"""),"Mobile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")</f>
        <v xml:space="preserve">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90" s="5">
        <f ca="1">IFERROR(__xludf.DUMMYFUNCTION("""COMPUTED_VALUE"""),14150)</f>
        <v>14150</v>
      </c>
    </row>
    <row r="591" spans="1:6" ht="86.25" customHeight="1" x14ac:dyDescent="0.2">
      <c r="A591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1" s="4" t="str">
        <f ca="1">IFERROR(__xludf.DUMMYFUNCTION("""COMPUTED_VALUE"""),"ШМОТКИ, РАСШИРЕННЫЙ")</f>
        <v>ШМОТКИ, РАСШИРЕННЫЙ</v>
      </c>
      <c r="C591" s="4" t="str">
        <f ca="1">IFERROR(__xludf.DUMMYFUNCTION("""COMPUTED_VALUE"""),"RTL15BK-1C82")</f>
        <v>RTL15BK-1C82</v>
      </c>
      <c r="D591" s="4" t="str">
        <f ca="1">IFERROR(__xludf.DUMMYFUNCTION("""COMPUTED_VALUE"""),"Mobile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на"&amp;"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пере"&amp;"мещение,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лиценз"&amp;"ия на 1 (одно) моб. устройство, подписка на обновления и обмен через Интернет на 1 (один) год")</f>
        <v>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1" s="4" t="str">
        <f ca="1">IFERROR(__xludf.DUMMYFUNCTION("""COMPUTED_VALUE"""),"Mobile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")</f>
        <v xml:space="preserve">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91" s="5">
        <f ca="1">IFERROR(__xludf.DUMMYFUNCTION("""COMPUTED_VALUE"""),20550)</f>
        <v>20550</v>
      </c>
    </row>
    <row r="592" spans="1:6" ht="86.25" customHeight="1" x14ac:dyDescent="0.2">
      <c r="A592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2" s="4" t="str">
        <f ca="1">IFERROR(__xludf.DUMMYFUNCTION("""COMPUTED_VALUE"""),"ШМОТКИ, МЕГАМАРКЕТ")</f>
        <v>ШМОТКИ, МЕГАМАРКЕТ</v>
      </c>
      <c r="C592" s="4" t="str">
        <f ca="1">IFERROR(__xludf.DUMMYFUNCTION("""COMPUTED_VALUE"""),"RTL15CK-1C82")</f>
        <v>RTL15CK-1C82</v>
      </c>
      <c r="D592" s="4" t="str">
        <f ca="1">IFERROR(__xludf.DUMMYFUNCTION("""COMPUTED_VALUE"""),"Mobile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бес"&amp;"проводной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лиценз"&amp;"ия на 1 (одно) моб. устройство, подписка на обновления и обмен через Интернет на 1 (один) год")</f>
        <v>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2" s="4" t="str">
        <f ca="1">IFERROR(__xludf.DUMMYFUNCTION("""COMPUTED_VALUE"""),"Mobile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")</f>
        <v xml:space="preserve">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</v>
      </c>
      <c r="F592" s="5">
        <f ca="1">IFERROR(__xludf.DUMMYFUNCTION("""COMPUTED_VALUE"""),28350)</f>
        <v>28350</v>
      </c>
    </row>
    <row r="593" spans="1:6" ht="86.25" customHeight="1" x14ac:dyDescent="0.2">
      <c r="A593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3" s="4" t="str">
        <f ca="1">IFERROR(__xludf.DUMMYFUNCTION("""COMPUTED_VALUE"""),"с МДЛП, БАЗОВЫЙ")</f>
        <v>с МДЛП, БАЗОВЫЙ</v>
      </c>
      <c r="C593" s="4" t="str">
        <f ca="1">IFERROR(__xludf.DUMMYFUNCTION("""COMPUTED_VALUE"""),"RTL15AL-1C82")</f>
        <v>RTL15AL-1C82</v>
      </c>
      <c r="D593" s="4" t="str">
        <f ca="1">IFERROR(__xludf.DUMMYFUNCTION("""COMPUTED_VALUE"""),"Mobile SMARTS: Магазин 15 с МДЛП,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проводн"&amp;"ой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прос"&amp;"мотр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на 1 (один) год")</f>
        <v>Mobile SMARTS: Магазин 15 с МДЛП,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93" s="4" t="str">
        <f ca="1">IFERROR(__xludf.DUMMYFUNCTION("""COMPUTED_VALUE"""),"Mobile SMARTS: Магазин 15 с МДЛП, БАЗОВЫЙ для конфигурации на базе «1С:Предприятия 8.2» ")</f>
        <v xml:space="preserve">Mobile SMARTS: Магазин 15 с МДЛП, БАЗОВЫЙ для конфигурации на базе «1С:Предприятия 8.2» </v>
      </c>
      <c r="F593" s="5">
        <f ca="1">IFERROR(__xludf.DUMMYFUNCTION("""COMPUTED_VALUE"""),10458)</f>
        <v>10458</v>
      </c>
    </row>
    <row r="594" spans="1:6" ht="86.25" customHeight="1" x14ac:dyDescent="0.2">
      <c r="A594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4" s="4" t="str">
        <f ca="1">IFERROR(__xludf.DUMMYFUNCTION("""COMPUTED_VALUE"""),"с МДЛП, РАСШИРЕННЫЙ")</f>
        <v>с МДЛП, РАСШИРЕННЫЙ</v>
      </c>
      <c r="C594" s="4" t="str">
        <f ca="1">IFERROR(__xludf.DUMMYFUNCTION("""COMPUTED_VALUE"""),"RTL15BL-1C82")</f>
        <v>RTL15BL-1C82</v>
      </c>
      <c r="D594" s="4" t="str">
        <f ca="1">IFERROR(__xludf.DUMMYFUNCTION("""COMPUTED_VALUE"""),"Mobile SMARTS: Магазин 15 с МДЛП,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про"&amp;"водной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на 1 (один) год")</f>
        <v>Mobile SMARTS: Магазин 15 с МДЛП,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94" s="4" t="str">
        <f ca="1">IFERROR(__xludf.DUMMYFUNCTION("""COMPUTED_VALUE"""),"Mobile SMARTS: Магазин 15 с МДЛП, РАСШИРЕННЫЙ для конфигурации на базе «1С:Предприятия 8.2» ")</f>
        <v xml:space="preserve">Mobile SMARTS: Магазин 15 с МДЛП, РАСШИРЕННЫЙ для конфигурации на базе «1С:Предприятия 8.2» </v>
      </c>
      <c r="F594" s="5">
        <f ca="1">IFERROR(__xludf.DUMMYFUNCTION("""COMPUTED_VALUE"""),15378)</f>
        <v>15378</v>
      </c>
    </row>
    <row r="595" spans="1:6" ht="86.25" customHeight="1" x14ac:dyDescent="0.2">
      <c r="A595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5" s="4" t="str">
        <f ca="1">IFERROR(__xludf.DUMMYFUNCTION("""COMPUTED_VALUE"""),"с МДЛП, МЕГАМАРКЕТ")</f>
        <v>с МДЛП, МЕГАМАРКЕТ</v>
      </c>
      <c r="C595" s="4" t="str">
        <f ca="1">IFERROR(__xludf.DUMMYFUNCTION("""COMPUTED_VALUE"""),"RTL15CL-1C82")</f>
        <v>RTL15CL-1C82</v>
      </c>
      <c r="D595" s="4" t="str">
        <f ca="1">IFERROR(__xludf.DUMMYFUNCTION("""COMPUTED_VALUE"""),"Mobile SMARTS: Магазин 15 с МДЛП,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пров"&amp;"одной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п"&amp;"росмотр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устро"&amp;"йство, подписка на обновления на 1 (один) год")</f>
        <v>Mobile SMARTS: Магазин 15 с МДЛП,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95" s="4" t="str">
        <f ca="1">IFERROR(__xludf.DUMMYFUNCTION("""COMPUTED_VALUE"""),"Mobile SMARTS: Магазин 15 с МДЛП, МЕГАМАРКЕТ для конфигурации на базе «1С:Предприятия 8.2» ")</f>
        <v xml:space="preserve">Mobile SMARTS: Магазин 15 с МДЛП, МЕГАМАРКЕТ для конфигурации на базе «1С:Предприятия 8.2» </v>
      </c>
      <c r="F595" s="5">
        <f ca="1">IFERROR(__xludf.DUMMYFUNCTION("""COMPUTED_VALUE"""),22698)</f>
        <v>22698</v>
      </c>
    </row>
    <row r="596" spans="1:6" ht="86.25" customHeight="1" x14ac:dyDescent="0.2">
      <c r="A596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6" s="4" t="str">
        <f ca="1">IFERROR(__xludf.DUMMYFUNCTION("""COMPUTED_VALUE"""),"ПРОДУКТОВЫЙ, БАЗОВЫЙ")</f>
        <v>ПРОДУКТОВЫЙ, БАЗОВЫЙ</v>
      </c>
      <c r="C596" s="4" t="str">
        <f ca="1">IFERROR(__xludf.DUMMYFUNCTION("""COMPUTED_VALUE"""),"RTL15AG-1C82")</f>
        <v>RTL15AG-1C82</v>
      </c>
      <c r="D596" s="4" t="str">
        <f ca="1">IFERROR(__xludf.DUMMYFUNCTION("""COMPUTED_VALUE"""),"Mobile SMARTS: Магазин 15 ПРОДУКТОВЫЙ,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П"&amp;"АРФЮМ,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с"&amp;"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тов"&amp;"аре,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96" s="4" t="str">
        <f ca="1">IFERROR(__xludf.DUMMYFUNCTION("""COMPUTED_VALUE"""),"Mobile SMARTS: Магазин 15 ПРОДУКТОВЫЙ, БАЗОВЫЙ для конфигурации на базе «1С:Предприятия 8.2» ")</f>
        <v xml:space="preserve">Mobile SMARTS: Магазин 15 ПРОДУКТОВЫЙ, БАЗОВЫЙ для конфигурации на базе «1С:Предприятия 8.2» </v>
      </c>
      <c r="F596" s="5">
        <f ca="1">IFERROR(__xludf.DUMMYFUNCTION("""COMPUTED_VALUE"""),13158)</f>
        <v>13158</v>
      </c>
    </row>
    <row r="597" spans="1:6" ht="86.25" customHeight="1" x14ac:dyDescent="0.2">
      <c r="A597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7" s="4" t="str">
        <f ca="1">IFERROR(__xludf.DUMMYFUNCTION("""COMPUTED_VALUE"""),"ПРОДУКТОВЫЙ, РАСШИРЕННЫЙ")</f>
        <v>ПРОДУКТОВЫЙ, РАСШИРЕННЫЙ</v>
      </c>
      <c r="C597" s="4" t="str">
        <f ca="1">IFERROR(__xludf.DUMMYFUNCTION("""COMPUTED_VALUE"""),"RTL15BG-1C82")</f>
        <v>RTL15BG-1C82</v>
      </c>
      <c r="D597" s="4" t="str">
        <f ca="1">IFERROR(__xludf.DUMMYFUNCTION("""COMPUTED_VALUE"""),"Mobile SMARTS: Магазин 15 ПРОДУКТОВЫЙ,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ОБУВ"&amp;"Ь,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97" s="4" t="str">
        <f ca="1">IFERROR(__xludf.DUMMYFUNCTION("""COMPUTED_VALUE"""),"Mobile SMARTS: Магазин 15 ПРОДУКТОВЫЙ, РАСШИРЕННЫЙ для конфигурации на базе «1С:Предприятия 8.2» ")</f>
        <v xml:space="preserve">Mobile SMARTS: Магазин 15 ПРОДУКТОВЫЙ, РАСШИРЕННЫЙ для конфигурации на базе «1С:Предприятия 8.2» </v>
      </c>
      <c r="F597" s="5">
        <f ca="1">IFERROR(__xludf.DUMMYFUNCTION("""COMPUTED_VALUE"""),18078)</f>
        <v>18078</v>
      </c>
    </row>
    <row r="598" spans="1:6" ht="86.25" customHeight="1" x14ac:dyDescent="0.2">
      <c r="A598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8" s="4" t="str">
        <f ca="1">IFERROR(__xludf.DUMMYFUNCTION("""COMPUTED_VALUE"""),"ПРОДУКТОВЫЙ, МЕГАМАРКЕТ")</f>
        <v>ПРОДУКТОВЫЙ, МЕГАМАРКЕТ</v>
      </c>
      <c r="C598" s="4" t="str">
        <f ca="1">IFERROR(__xludf.DUMMYFUNCTION("""COMPUTED_VALUE"""),"RTL15CG-1C82")</f>
        <v>RTL15CG-1C82</v>
      </c>
      <c r="D598" s="4" t="str">
        <f ca="1">IFERROR(__xludf.DUMMYFUNCTION("""COMPUTED_VALUE"""),"Mobile SMARTS: Магазин 15 ПРОДУКТОВЫЙ,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ОБУВЬ"&amp;",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т.ч"&amp;".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"&amp;"работа,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98" s="4" t="str">
        <f ca="1">IFERROR(__xludf.DUMMYFUNCTION("""COMPUTED_VALUE"""),"Mobile SMARTS: Магазин 15 ПРОДУКТОВЫЙ, МЕГАМАРКЕТ для конфигурации на базе «1С:Предприятия 8.2» ")</f>
        <v xml:space="preserve">Mobile SMARTS: Магазин 15 ПРОДУКТОВЫЙ, МЕГАМАРКЕТ для конфигурации на базе «1С:Предприятия 8.2» </v>
      </c>
      <c r="F598" s="5">
        <f ca="1">IFERROR(__xludf.DUMMYFUNCTION("""COMPUTED_VALUE"""),30169)</f>
        <v>30169</v>
      </c>
    </row>
    <row r="599" spans="1:6" ht="86.25" customHeight="1" x14ac:dyDescent="0.2">
      <c r="A599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599" s="4" t="str">
        <f ca="1">IFERROR(__xludf.DUMMYFUNCTION("""COMPUTED_VALUE"""),"МИНИМУМ")</f>
        <v>МИНИМУМ</v>
      </c>
      <c r="C599" s="4" t="str">
        <f ca="1">IFERROR(__xludf.DUMMYFUNCTION("""COMPUTED_VALUE"""),"RTL15M-1C83")</f>
        <v>RTL15M-1C83</v>
      </c>
      <c r="D599" s="4" t="str">
        <f ca="1">IFERROR(__xludf.DUMMYFUNCTION("""COMPUTED_VALUE"""),"Mobile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о"&amp;"нлайна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("&amp;"одно) моб. устройство, подписка на обновления и обмен через Интернет на 1 (один) год")</f>
        <v>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99" s="4" t="str">
        <f ca="1">IFERROR(__xludf.DUMMYFUNCTION("""COMPUTED_VALUE"""),"Mobile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")</f>
        <v xml:space="preserve">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</v>
      </c>
      <c r="F599" s="5">
        <f ca="1">IFERROR(__xludf.DUMMYFUNCTION("""COMPUTED_VALUE"""),5450)</f>
        <v>5450</v>
      </c>
    </row>
    <row r="600" spans="1:6" ht="86.25" customHeight="1" x14ac:dyDescent="0.2">
      <c r="A600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0" s="4" t="str">
        <f ca="1">IFERROR(__xludf.DUMMYFUNCTION("""COMPUTED_VALUE"""),"БАЗОВЫЙ")</f>
        <v>БАЗОВЫЙ</v>
      </c>
      <c r="C600" s="4" t="str">
        <f ca="1">IFERROR(__xludf.DUMMYFUNCTION("""COMPUTED_VALUE"""),"RTL15A-1C83")</f>
        <v>RTL15A-1C83</v>
      </c>
      <c r="D600" s="4" t="str">
        <f ca="1">IFERROR(__xludf.DUMMYFUNCTION("""COMPUTED_VALUE"""),"Mobile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о"&amp;"нлайна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0" s="4" t="str">
        <f ca="1">IFERROR(__xludf.DUMMYFUNCTION("""COMPUTED_VALUE"""),"Mobile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")</f>
        <v xml:space="preserve">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</v>
      </c>
      <c r="F600" s="5">
        <f ca="1">IFERROR(__xludf.DUMMYFUNCTION("""COMPUTED_VALUE"""),10650)</f>
        <v>10650</v>
      </c>
    </row>
    <row r="601" spans="1:6" ht="86.25" customHeight="1" x14ac:dyDescent="0.2">
      <c r="A601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1" s="4" t="str">
        <f ca="1">IFERROR(__xludf.DUMMYFUNCTION("""COMPUTED_VALUE"""),"РАСШИРЕННЫЙ")</f>
        <v>РАСШИРЕННЫЙ</v>
      </c>
      <c r="C601" s="4" t="str">
        <f ca="1">IFERROR(__xludf.DUMMYFUNCTION("""COMPUTED_VALUE"""),"RTL15B-1C83")</f>
        <v>RTL15B-1C83</v>
      </c>
      <c r="D601" s="4" t="str">
        <f ca="1">IFERROR(__xludf.DUMMYFUNCTION("""COMPUTED_VALUE"""),"Mobile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е"&amp;"сть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1" s="4" t="str">
        <f ca="1">IFERROR(__xludf.DUMMYFUNCTION("""COMPUTED_VALUE"""),"Mobile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")</f>
        <v xml:space="preserve">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</v>
      </c>
      <c r="F601" s="5">
        <f ca="1">IFERROR(__xludf.DUMMYFUNCTION("""COMPUTED_VALUE"""),17050)</f>
        <v>17050</v>
      </c>
    </row>
    <row r="602" spans="1:6" ht="86.25" customHeight="1" x14ac:dyDescent="0.2">
      <c r="A602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2" s="4" t="str">
        <f ca="1">IFERROR(__xludf.DUMMYFUNCTION("""COMPUTED_VALUE"""),"МЕГАМАРКЕТ")</f>
        <v>МЕГАМАРКЕТ</v>
      </c>
      <c r="C602" s="4" t="str">
        <f ca="1">IFERROR(__xludf.DUMMYFUNCTION("""COMPUTED_VALUE"""),"RTL15C-1C83")</f>
        <v>RTL15C-1C83</v>
      </c>
      <c r="D602" s="4" t="str">
        <f ca="1">IFERROR(__xludf.DUMMYFUNCTION("""COMPUTED_VALUE"""),"Mobile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ес"&amp;"ть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коллективна"&amp;"я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2" s="4" t="str">
        <f ca="1">IFERROR(__xludf.DUMMYFUNCTION("""COMPUTED_VALUE"""),"Mobile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")</f>
        <v xml:space="preserve">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</v>
      </c>
      <c r="F602" s="5">
        <f ca="1">IFERROR(__xludf.DUMMYFUNCTION("""COMPUTED_VALUE"""),23550)</f>
        <v>23550</v>
      </c>
    </row>
    <row r="603" spans="1:6" ht="86.25" customHeight="1" x14ac:dyDescent="0.2">
      <c r="A603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3" s="4" t="str">
        <f ca="1">IFERROR(__xludf.DUMMYFUNCTION("""COMPUTED_VALUE"""),"с ЕГАИС, БАЗОВЫЙ")</f>
        <v>с ЕГАИС, БАЗОВЫЙ</v>
      </c>
      <c r="C603" s="4" t="str">
        <f ca="1">IFERROR(__xludf.DUMMYFUNCTION("""COMPUTED_VALUE"""),"RTL15AE-1C83")</f>
        <v>RTL15AE-1C83</v>
      </c>
      <c r="D603" s="4" t="str">
        <f ca="1">IFERROR(__xludf.DUMMYFUNCTION("""COMPUTED_VALUE"""),"Mobile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проводной"&amp;",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справ"&amp;"очников,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устройс"&amp;"тво, подписка на обновления и обмен через Интернет на 1 (один) год")</f>
        <v>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603" s="4" t="str">
        <f ca="1">IFERROR(__xludf.DUMMYFUNCTION("""COMPUTED_VALUE"""),"Mobile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603" s="5">
        <f ca="1">IFERROR(__xludf.DUMMYFUNCTION("""COMPUTED_VALUE"""),13000)</f>
        <v>13000</v>
      </c>
    </row>
    <row r="604" spans="1:6" ht="86.25" customHeight="1" x14ac:dyDescent="0.2">
      <c r="A604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4" s="4" t="str">
        <f ca="1">IFERROR(__xludf.DUMMYFUNCTION("""COMPUTED_VALUE"""),"с ЕГАИС, РАСШИРЕННЫЙ")</f>
        <v>с ЕГАИС, РАСШИРЕННЫЙ</v>
      </c>
      <c r="C604" s="4" t="str">
        <f ca="1">IFERROR(__xludf.DUMMYFUNCTION("""COMPUTED_VALUE"""),"RTL15BE-1C83")</f>
        <v>RTL15BE-1C83</v>
      </c>
      <c r="D604" s="4" t="str">
        <f ca="1">IFERROR(__xludf.DUMMYFUNCTION("""COMPUTED_VALUE"""),"Mobile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прово"&amp;"дной,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с"&amp;"правочников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подпи"&amp;"ска на обновления и обмен через Интернет на 1 (один) год")</f>
        <v>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4" s="4" t="str">
        <f ca="1">IFERROR(__xludf.DUMMYFUNCTION("""COMPUTED_VALUE"""),"Mobile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604" s="5">
        <f ca="1">IFERROR(__xludf.DUMMYFUNCTION("""COMPUTED_VALUE"""),19450)</f>
        <v>19450</v>
      </c>
    </row>
    <row r="605" spans="1:6" ht="86.25" customHeight="1" x14ac:dyDescent="0.2">
      <c r="A605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5" s="4" t="str">
        <f ca="1">IFERROR(__xludf.DUMMYFUNCTION("""COMPUTED_VALUE"""),"с ЕГАИС (без CheckMark2), МЕГАМАРКЕТ")</f>
        <v>с ЕГАИС (без CheckMark2), МЕГАМАРКЕТ</v>
      </c>
      <c r="C605" s="4" t="str">
        <f ca="1">IFERROR(__xludf.DUMMYFUNCTION("""COMPUTED_VALUE"""),"RTL15CEV-1C83")</f>
        <v>RTL15CEV-1C83</v>
      </c>
      <c r="D605" s="4" t="str">
        <f ca="1">IFERROR(__xludf.DUMMYFUNCTION("""COMPUTED_VALUE"""),"Mobile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"&amp;"/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штрихк"&amp;"одов,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/"&amp;" бессрочная лицензия на 1 (одно) моб. устройство, подписка на обновления и обмен через Интернет на 1 (один) год")</f>
        <v>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5" s="4" t="str">
        <f ca="1">IFERROR(__xludf.DUMMYFUNCTION("""COMPUTED_VALUE"""),"Mobile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605" s="5">
        <f ca="1">IFERROR(__xludf.DUMMYFUNCTION("""COMPUTED_VALUE"""),25850)</f>
        <v>25850</v>
      </c>
    </row>
    <row r="606" spans="1:6" ht="86.25" customHeight="1" x14ac:dyDescent="0.2">
      <c r="A606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6" s="4" t="str">
        <f ca="1">IFERROR(__xludf.DUMMYFUNCTION("""COMPUTED_VALUE"""),"с МОТП, БАЗОВЫЙ")</f>
        <v>с МОТП, БАЗОВЫЙ</v>
      </c>
      <c r="C606" s="4" t="str">
        <f ca="1">IFERROR(__xludf.DUMMYFUNCTION("""COMPUTED_VALUE"""),"RTL15AT-1C83")</f>
        <v>RTL15AT-1C83</v>
      </c>
      <c r="D606" s="4" t="str">
        <f ca="1">IFERROR(__xludf.DUMMYFUNCTION("""COMPUTED_VALUE"""),"Mobile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беспрово"&amp;"дной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6" s="4" t="str">
        <f ca="1">IFERROR(__xludf.DUMMYFUNCTION("""COMPUTED_VALUE"""),"Mobile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606" s="5">
        <f ca="1">IFERROR(__xludf.DUMMYFUNCTION("""COMPUTED_VALUE"""),13150)</f>
        <v>13150</v>
      </c>
    </row>
    <row r="607" spans="1:6" ht="86.25" customHeight="1" x14ac:dyDescent="0.2">
      <c r="A607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7" s="4" t="str">
        <f ca="1">IFERROR(__xludf.DUMMYFUNCTION("""COMPUTED_VALUE"""),"с МОТП, РАСШИРЕННЫЙ")</f>
        <v>с МОТП, РАСШИРЕННЫЙ</v>
      </c>
      <c r="C607" s="4" t="str">
        <f ca="1">IFERROR(__xludf.DUMMYFUNCTION("""COMPUTED_VALUE"""),"RTL15BT-1C83")</f>
        <v>RTL15BT-1C83</v>
      </c>
      <c r="D607" s="4" t="str">
        <f ca="1">IFERROR(__xludf.DUMMYFUNCTION("""COMPUTED_VALUE"""),"Mobile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бесп"&amp;"роводной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штрихкод"&amp;"ов,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ус"&amp;"тройство, подписка на обновления и обмен через Интернет на 1 (один) год")</f>
        <v>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7" s="4" t="str">
        <f ca="1">IFERROR(__xludf.DUMMYFUNCTION("""COMPUTED_VALUE"""),"Mobile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607" s="5">
        <f ca="1">IFERROR(__xludf.DUMMYFUNCTION("""COMPUTED_VALUE"""),19450)</f>
        <v>19450</v>
      </c>
    </row>
    <row r="608" spans="1:6" ht="86.25" customHeight="1" x14ac:dyDescent="0.2">
      <c r="A608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8" s="4" t="str">
        <f ca="1">IFERROR(__xludf.DUMMYFUNCTION("""COMPUTED_VALUE"""),"с МОТП, МЕГАМАРКЕТ")</f>
        <v>с МОТП, МЕГАМАРКЕТ</v>
      </c>
      <c r="C608" s="4" t="str">
        <f ca="1">IFERROR(__xludf.DUMMYFUNCTION("""COMPUTED_VALUE"""),"RTL15CT-1C83")</f>
        <v>RTL15CT-1C83</v>
      </c>
      <c r="D608" s="4" t="str">
        <f ca="1">IFERROR(__xludf.DUMMYFUNCTION("""COMPUTED_VALUE"""),"Mobile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беспр"&amp;"оводной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штрихкодо"&amp;"в,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лицензия"&amp;" на 1 (одно) моб. устройство, подписка на обновления и обмен через Интернет на 1 (один) год")</f>
        <v>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8" s="4" t="str">
        <f ca="1">IFERROR(__xludf.DUMMYFUNCTION("""COMPUTED_VALUE"""),"Mobile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608" s="5">
        <f ca="1">IFERROR(__xludf.DUMMYFUNCTION("""COMPUTED_VALUE"""),25850)</f>
        <v>25850</v>
      </c>
    </row>
    <row r="609" spans="1:6" ht="86.25" customHeight="1" x14ac:dyDescent="0.2">
      <c r="A609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9" s="4" t="str">
        <f ca="1">IFERROR(__xludf.DUMMYFUNCTION("""COMPUTED_VALUE"""),"с ЕГАИС и МОТП, БАЗОВЫЙ")</f>
        <v>с ЕГАИС и МОТП, БАЗОВЫЙ</v>
      </c>
      <c r="C609" s="4" t="str">
        <f ca="1">IFERROR(__xludf.DUMMYFUNCTION("""COMPUTED_VALUE"""),"RTL15AET-1C83")</f>
        <v>RTL15AET-1C83</v>
      </c>
      <c r="D609" s="4" t="str">
        <f ca="1">IFERROR(__xludf.DUMMYFUNCTION("""COMPUTED_VALUE"""),"Mobile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п"&amp;"роводной,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"&amp;"списание,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9" s="4" t="str">
        <f ca="1">IFERROR(__xludf.DUMMYFUNCTION("""COMPUTED_VALUE"""),"Mobile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609" s="5">
        <f ca="1">IFERROR(__xludf.DUMMYFUNCTION("""COMPUTED_VALUE"""),14150)</f>
        <v>14150</v>
      </c>
    </row>
    <row r="610" spans="1:6" ht="86.25" customHeight="1" x14ac:dyDescent="0.2">
      <c r="A610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0" s="4" t="str">
        <f ca="1">IFERROR(__xludf.DUMMYFUNCTION("""COMPUTED_VALUE"""),"с ЕГАИС и МОТП, РАСШИРЕННЫЙ")</f>
        <v>с ЕГАИС и МОТП, РАСШИРЕННЫЙ</v>
      </c>
      <c r="C610" s="4" t="str">
        <f ca="1">IFERROR(__xludf.DUMMYFUNCTION("""COMPUTED_VALUE"""),"RTL15BET-1C83")</f>
        <v>RTL15BET-1C83</v>
      </c>
      <c r="D610" s="4" t="str">
        <f ca="1">IFERROR(__xludf.DUMMYFUNCTION("""COMPUTED_VALUE"""),"Mobile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0" s="4" t="str">
        <f ca="1">IFERROR(__xludf.DUMMYFUNCTION("""COMPUTED_VALUE"""),"Mobile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610" s="5">
        <f ca="1">IFERROR(__xludf.DUMMYFUNCTION("""COMPUTED_VALUE"""),20550)</f>
        <v>20550</v>
      </c>
    </row>
    <row r="611" spans="1:6" ht="86.25" customHeight="1" x14ac:dyDescent="0.2">
      <c r="A611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1" s="4" t="str">
        <f ca="1">IFERROR(__xludf.DUMMYFUNCTION("""COMPUTED_VALUE"""),"с ЕГАИС и МОТП, МЕГАМАРКЕТ")</f>
        <v>с ЕГАИС и МОТП, МЕГАМАРКЕТ</v>
      </c>
      <c r="C611" s="4" t="str">
        <f ca="1">IFERROR(__xludf.DUMMYFUNCTION("""COMPUTED_VALUE"""),"RTL15CET-1C83")</f>
        <v>RTL15CET-1C83</v>
      </c>
      <c r="D611" s="4" t="str">
        <f ca="1">IFERROR(__xludf.DUMMYFUNCTION("""COMPUTED_VALUE"""),"Mobile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выбо"&amp;"р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1" s="4" t="str">
        <f ca="1">IFERROR(__xludf.DUMMYFUNCTION("""COMPUTED_VALUE"""),"Mobile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611" s="5">
        <f ca="1">IFERROR(__xludf.DUMMYFUNCTION("""COMPUTED_VALUE"""),28350)</f>
        <v>28350</v>
      </c>
    </row>
    <row r="612" spans="1:6" ht="86.25" customHeight="1" x14ac:dyDescent="0.2">
      <c r="A612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2" s="4" t="str">
        <f ca="1">IFERROR(__xludf.DUMMYFUNCTION("""COMPUTED_VALUE"""),"ШМОТКИ, БАЗОВЫЙ")</f>
        <v>ШМОТКИ, БАЗОВЫЙ</v>
      </c>
      <c r="C612" s="4" t="str">
        <f ca="1">IFERROR(__xludf.DUMMYFUNCTION("""COMPUTED_VALUE"""),"RTL15AK-1C83")</f>
        <v>RTL15AK-1C83</v>
      </c>
      <c r="D612" s="4" t="str">
        <f ca="1">IFERROR(__xludf.DUMMYFUNCTION("""COMPUTED_VALUE"""),"Mobile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выб"&amp;"ор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и обмен через Интернет на 1 (один) год")</f>
        <v>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2" s="4" t="str">
        <f ca="1">IFERROR(__xludf.DUMMYFUNCTION("""COMPUTED_VALUE"""),"Mobile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")</f>
        <v xml:space="preserve">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612" s="5">
        <f ca="1">IFERROR(__xludf.DUMMYFUNCTION("""COMPUTED_VALUE"""),14150)</f>
        <v>14150</v>
      </c>
    </row>
    <row r="613" spans="1:6" ht="86.25" customHeight="1" x14ac:dyDescent="0.2">
      <c r="A613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3" s="4" t="str">
        <f ca="1">IFERROR(__xludf.DUMMYFUNCTION("""COMPUTED_VALUE"""),"ШМОТКИ, РАСШИРЕННЫЙ")</f>
        <v>ШМОТКИ, РАСШИРЕННЫЙ</v>
      </c>
      <c r="C613" s="4" t="str">
        <f ca="1">IFERROR(__xludf.DUMMYFUNCTION("""COMPUTED_VALUE"""),"RTL15BK-1C83")</f>
        <v>RTL15BK-1C83</v>
      </c>
      <c r="D613" s="4" t="str">
        <f ca="1">IFERROR(__xludf.DUMMYFUNCTION("""COMPUTED_VALUE"""),"Mobile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на"&amp;"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пере"&amp;"мещение,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лиценз"&amp;"ия на 1 (одно) моб. устройство, подписка на обновления и обмен через Интернет на 1 (один) год")</f>
        <v>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3" s="4" t="str">
        <f ca="1">IFERROR(__xludf.DUMMYFUNCTION("""COMPUTED_VALUE"""),"Mobile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")</f>
        <v xml:space="preserve">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613" s="5">
        <f ca="1">IFERROR(__xludf.DUMMYFUNCTION("""COMPUTED_VALUE"""),20550)</f>
        <v>20550</v>
      </c>
    </row>
    <row r="614" spans="1:6" ht="86.25" customHeight="1" x14ac:dyDescent="0.2">
      <c r="A614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4" s="4" t="str">
        <f ca="1">IFERROR(__xludf.DUMMYFUNCTION("""COMPUTED_VALUE"""),"ШМОТКИ, МЕГАМАРКЕТ")</f>
        <v>ШМОТКИ, МЕГАМАРКЕТ</v>
      </c>
      <c r="C614" s="4" t="str">
        <f ca="1">IFERROR(__xludf.DUMMYFUNCTION("""COMPUTED_VALUE"""),"RTL15CK-1C83")</f>
        <v>RTL15CK-1C83</v>
      </c>
      <c r="D614" s="4" t="str">
        <f ca="1">IFERROR(__xludf.DUMMYFUNCTION("""COMPUTED_VALUE"""),"Mobile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бес"&amp;"проводной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лиценз"&amp;"ия на 1 (одно) моб. устройство, подписка на обновления и обмен через Интернет на 1 (один) год")</f>
        <v>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4" s="4" t="str">
        <f ca="1">IFERROR(__xludf.DUMMYFUNCTION("""COMPUTED_VALUE"""),"Mobile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")</f>
        <v xml:space="preserve">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</v>
      </c>
      <c r="F614" s="5">
        <f ca="1">IFERROR(__xludf.DUMMYFUNCTION("""COMPUTED_VALUE"""),28350)</f>
        <v>28350</v>
      </c>
    </row>
    <row r="615" spans="1:6" ht="86.25" customHeight="1" x14ac:dyDescent="0.2">
      <c r="A615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5" s="4" t="str">
        <f ca="1">IFERROR(__xludf.DUMMYFUNCTION("""COMPUTED_VALUE"""),"с МДЛП, БАЗОВЫЙ")</f>
        <v>с МДЛП, БАЗОВЫЙ</v>
      </c>
      <c r="C615" s="4" t="str">
        <f ca="1">IFERROR(__xludf.DUMMYFUNCTION("""COMPUTED_VALUE"""),"RTL15AL-1C83")</f>
        <v>RTL15AL-1C83</v>
      </c>
      <c r="D615" s="4" t="str">
        <f ca="1">IFERROR(__xludf.DUMMYFUNCTION("""COMPUTED_VALUE"""),"Mobile SMARTS: Магазин 15 с МДЛП,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проводн"&amp;"ой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прос"&amp;"мотр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на 1 (один) год")</f>
        <v>Mobile SMARTS: Магазин 15 с МДЛП,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15" s="4" t="str">
        <f ca="1">IFERROR(__xludf.DUMMYFUNCTION("""COMPUTED_VALUE"""),"Mobile SMARTS: Магазин 15 с МДЛП, БАЗОВЫЙ для конфигурации на базе «1С:Предприятия 8.3» ")</f>
        <v xml:space="preserve">Mobile SMARTS: Магазин 15 с МДЛП, БАЗОВЫЙ для конфигурации на базе «1С:Предприятия 8.3» </v>
      </c>
      <c r="F615" s="5">
        <f ca="1">IFERROR(__xludf.DUMMYFUNCTION("""COMPUTED_VALUE"""),10458)</f>
        <v>10458</v>
      </c>
    </row>
    <row r="616" spans="1:6" ht="86.25" customHeight="1" x14ac:dyDescent="0.2">
      <c r="A616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6" s="4" t="str">
        <f ca="1">IFERROR(__xludf.DUMMYFUNCTION("""COMPUTED_VALUE"""),"с МДЛП, РАСШИРЕННЫЙ")</f>
        <v>с МДЛП, РАСШИРЕННЫЙ</v>
      </c>
      <c r="C616" s="4" t="str">
        <f ca="1">IFERROR(__xludf.DUMMYFUNCTION("""COMPUTED_VALUE"""),"RTL15BL-1C83")</f>
        <v>RTL15BL-1C83</v>
      </c>
      <c r="D616" s="4" t="str">
        <f ca="1">IFERROR(__xludf.DUMMYFUNCTION("""COMPUTED_VALUE"""),"Mobile SMARTS: Магазин 15 с МДЛП,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про"&amp;"водной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на 1 (один) год")</f>
        <v>Mobile SMARTS: Магазин 15 с МДЛП,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16" s="4" t="str">
        <f ca="1">IFERROR(__xludf.DUMMYFUNCTION("""COMPUTED_VALUE"""),"Mobile SMARTS: Магазин 15 с МДЛП, РАСШИРЕННЫЙ для конфигурации на базе «1С:Предприятия 8.3» ")</f>
        <v xml:space="preserve">Mobile SMARTS: Магазин 15 с МДЛП, РАСШИРЕННЫЙ для конфигурации на базе «1С:Предприятия 8.3» </v>
      </c>
      <c r="F616" s="5">
        <f ca="1">IFERROR(__xludf.DUMMYFUNCTION("""COMPUTED_VALUE"""),15378)</f>
        <v>15378</v>
      </c>
    </row>
    <row r="617" spans="1:6" ht="86.25" customHeight="1" x14ac:dyDescent="0.2">
      <c r="A617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7" s="4" t="str">
        <f ca="1">IFERROR(__xludf.DUMMYFUNCTION("""COMPUTED_VALUE"""),"с МДЛП, МЕГАМАРКЕТ")</f>
        <v>с МДЛП, МЕГАМАРКЕТ</v>
      </c>
      <c r="C617" s="4" t="str">
        <f ca="1">IFERROR(__xludf.DUMMYFUNCTION("""COMPUTED_VALUE"""),"RTL15CL-1C83")</f>
        <v>RTL15CL-1C83</v>
      </c>
      <c r="D617" s="4" t="str">
        <f ca="1">IFERROR(__xludf.DUMMYFUNCTION("""COMPUTED_VALUE"""),"Mobile SMARTS: Магазин 15 с МДЛП,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пров"&amp;"одной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п"&amp;"росмотр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устро"&amp;"йство, подписка на обновления на 1 (один) год")</f>
        <v>Mobile SMARTS: Магазин 15 с МДЛП,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17" s="4" t="str">
        <f ca="1">IFERROR(__xludf.DUMMYFUNCTION("""COMPUTED_VALUE"""),"Mobile SMARTS: Магазин 15 с МДЛП, МЕГАМАРКЕТ для конфигурации на базе «1С:Предприятия 8.3» ")</f>
        <v xml:space="preserve">Mobile SMARTS: Магазин 15 с МДЛП, МЕГАМАРКЕТ для конфигурации на базе «1С:Предприятия 8.3» </v>
      </c>
      <c r="F617" s="5">
        <f ca="1">IFERROR(__xludf.DUMMYFUNCTION("""COMPUTED_VALUE"""),22698)</f>
        <v>22698</v>
      </c>
    </row>
    <row r="618" spans="1:6" ht="86.25" customHeight="1" x14ac:dyDescent="0.2">
      <c r="A618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8" s="4" t="str">
        <f ca="1">IFERROR(__xludf.DUMMYFUNCTION("""COMPUTED_VALUE"""),"ПРОДУКТОВЫЙ, БАЗОВЫЙ")</f>
        <v>ПРОДУКТОВЫЙ, БАЗОВЫЙ</v>
      </c>
      <c r="C618" s="4" t="str">
        <f ca="1">IFERROR(__xludf.DUMMYFUNCTION("""COMPUTED_VALUE"""),"RTL15AG-1C83")</f>
        <v>RTL15AG-1C83</v>
      </c>
      <c r="D618" s="4" t="str">
        <f ca="1">IFERROR(__xludf.DUMMYFUNCTION("""COMPUTED_VALUE"""),"Mobile SMARTS: Магазин 15 ПРОДУКТОВЫЙ,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П"&amp;"АРФЮМ,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с"&amp;"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тов"&amp;"аре,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18" s="4" t="str">
        <f ca="1">IFERROR(__xludf.DUMMYFUNCTION("""COMPUTED_VALUE"""),"Mobile SMARTS: Магазин 15 ПРОДУКТОВЫЙ, БАЗОВЫЙ для конфигурации на базе «1С:Предприятия 8.3» ")</f>
        <v xml:space="preserve">Mobile SMARTS: Магазин 15 ПРОДУКТОВЫЙ, БАЗОВЫЙ для конфигурации на базе «1С:Предприятия 8.3» </v>
      </c>
      <c r="F618" s="5">
        <f ca="1">IFERROR(__xludf.DUMMYFUNCTION("""COMPUTED_VALUE"""),13158)</f>
        <v>13158</v>
      </c>
    </row>
    <row r="619" spans="1:6" ht="86.25" customHeight="1" x14ac:dyDescent="0.2">
      <c r="A619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9" s="4" t="str">
        <f ca="1">IFERROR(__xludf.DUMMYFUNCTION("""COMPUTED_VALUE"""),"ПРОДУКТОВЫЙ, РАСШИРЕННЫЙ")</f>
        <v>ПРОДУКТОВЫЙ, РАСШИРЕННЫЙ</v>
      </c>
      <c r="C619" s="4" t="str">
        <f ca="1">IFERROR(__xludf.DUMMYFUNCTION("""COMPUTED_VALUE"""),"RTL15BG-1C83")</f>
        <v>RTL15BG-1C83</v>
      </c>
      <c r="D619" s="4" t="str">
        <f ca="1">IFERROR(__xludf.DUMMYFUNCTION("""COMPUTED_VALUE"""),"Mobile SMARTS: Магазин 15 ПРОДУКТОВЫЙ,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ОБУВ"&amp;"Ь,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19" s="4" t="str">
        <f ca="1">IFERROR(__xludf.DUMMYFUNCTION("""COMPUTED_VALUE"""),"Mobile SMARTS: Магазин 15 ПРОДУКТОВЫЙ, РАСШИРЕННЫЙ для конфигурации на базе «1С:Предприятия 8.3» ")</f>
        <v xml:space="preserve">Mobile SMARTS: Магазин 15 ПРОДУКТОВЫЙ, РАСШИРЕННЫЙ для конфигурации на базе «1С:Предприятия 8.3» </v>
      </c>
      <c r="F619" s="5">
        <f ca="1">IFERROR(__xludf.DUMMYFUNCTION("""COMPUTED_VALUE"""),18078)</f>
        <v>18078</v>
      </c>
    </row>
    <row r="620" spans="1:6" ht="86.25" customHeight="1" x14ac:dyDescent="0.2">
      <c r="A620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20" s="4" t="str">
        <f ca="1">IFERROR(__xludf.DUMMYFUNCTION("""COMPUTED_VALUE"""),"ПРОДУКТОВЫЙ, МЕГАМАРКЕТ")</f>
        <v>ПРОДУКТОВЫЙ, МЕГАМАРКЕТ</v>
      </c>
      <c r="C620" s="4" t="str">
        <f ca="1">IFERROR(__xludf.DUMMYFUNCTION("""COMPUTED_VALUE"""),"RTL15CG-1C83")</f>
        <v>RTL15CG-1C83</v>
      </c>
      <c r="D620" s="4" t="str">
        <f ca="1">IFERROR(__xludf.DUMMYFUNCTION("""COMPUTED_VALUE"""),"Mobile SMARTS: Магазин 15 ПРОДУКТОВЫЙ,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ОБУВЬ"&amp;",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т.ч"&amp;".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"&amp;"работа,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20" s="4" t="str">
        <f ca="1">IFERROR(__xludf.DUMMYFUNCTION("""COMPUTED_VALUE"""),"Mobile SMARTS: Магазин 15 ПРОДУКТОВЫЙ, МЕГАМАРКЕТ для конфигурации на базе «1С:Предприятия 8.3» ")</f>
        <v xml:space="preserve">Mobile SMARTS: Магазин 15 ПРОДУКТОВЫЙ, МЕГАМАРКЕТ для конфигурации на базе «1С:Предприятия 8.3» </v>
      </c>
      <c r="F620" s="5">
        <f ca="1">IFERROR(__xludf.DUMMYFUNCTION("""COMPUTED_VALUE"""),30169)</f>
        <v>30169</v>
      </c>
    </row>
    <row r="621" spans="1:6" ht="86.25" customHeight="1" x14ac:dyDescent="0.2">
      <c r="A621" s="4"/>
      <c r="B621" s="4"/>
      <c r="C621" s="4"/>
      <c r="D621" s="4" t="str">
        <f ca="1">IFERROR(__xludf.DUMMYFUNCTION("""COMPUTED_VALUE"""),"Лицензии не для 1С (самописки, SAP, Axapta и др.) (+2000р)")</f>
        <v>Лицензии не для 1С (самописки, SAP, Axapta и др.) (+2000р)</v>
      </c>
      <c r="E621" s="4" t="str">
        <f ca="1">IFERROR(__xludf.DUMMYFUNCTION("""COMPUTED_VALUE"""),"#VALUE!")</f>
        <v>#VALUE!</v>
      </c>
      <c r="F621" s="5" t="str">
        <f ca="1">IFERROR(__xludf.DUMMYFUNCTION("""COMPUTED_VALUE"""),"#N/A")</f>
        <v>#N/A</v>
      </c>
    </row>
    <row r="622" spans="1:6" ht="86.25" customHeight="1" x14ac:dyDescent="0.2">
      <c r="A622" s="4" t="str">
        <f ca="1">IFERROR(__xludf.DUMMYFUNCTION("""COMPUTED_VALUE"""),"интеграции через OLE/COM")</f>
        <v>интеграции через OLE/COM</v>
      </c>
      <c r="B622" s="4" t="str">
        <f ca="1">IFERROR(__xludf.DUMMYFUNCTION("""COMPUTED_VALUE"""),"МИНИМУМ")</f>
        <v>МИНИМУМ</v>
      </c>
      <c r="C622" s="4" t="str">
        <f ca="1">IFERROR(__xludf.DUMMYFUNCTION("""COMPUTED_VALUE"""),"RTL15M-OLE")</f>
        <v>RTL15M-OLE</v>
      </c>
      <c r="D622" s="4" t="str">
        <f ca="1">IFERROR(__xludf.DUMMYFUNCTION("""COMPUTED_VALUE"""),"Mobile SMARTS: Магазин 15, МИНИМУМ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сбо"&amp;"р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"&amp;"(один) год")</f>
        <v>Mobile SMARTS: Магазин 15, МИНИМУМ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622" s="4" t="str">
        <f ca="1">IFERROR(__xludf.DUMMYFUNCTION("""COMPUTED_VALUE"""),"Mobile SMARTS: Магазин 15, МИНИМУМ для интеграции через OLE/COM ")</f>
        <v xml:space="preserve">Mobile SMARTS: Магазин 15, МИНИМУМ для интеграции через OLE/COM </v>
      </c>
      <c r="F622" s="5">
        <f ca="1">IFERROR(__xludf.DUMMYFUNCTION("""COMPUTED_VALUE"""),5450)</f>
        <v>5450</v>
      </c>
    </row>
    <row r="623" spans="1:6" ht="86.25" customHeight="1" x14ac:dyDescent="0.2">
      <c r="A623" s="4" t="str">
        <f ca="1">IFERROR(__xludf.DUMMYFUNCTION("""COMPUTED_VALUE"""),"интеграции через OLE/COM")</f>
        <v>интеграции через OLE/COM</v>
      </c>
      <c r="B623" s="4" t="str">
        <f ca="1">IFERROR(__xludf.DUMMYFUNCTION("""COMPUTED_VALUE"""),"БАЗОВЫЙ")</f>
        <v>БАЗОВЫЙ</v>
      </c>
      <c r="C623" s="4" t="str">
        <f ca="1">IFERROR(__xludf.DUMMYFUNCTION("""COMPUTED_VALUE"""),"RTL15A-OLE")</f>
        <v>RTL15A-OLE</v>
      </c>
      <c r="D623" s="4" t="str">
        <f ca="1">IFERROR(__xludf.DUMMYFUNCTION("""COMPUTED_VALUE"""),"Mobile SMARTS: Магазин 15, БАЗОВЫЙ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пос"&amp;"тупление,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БАЗОВЫЙ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3" s="4" t="str">
        <f ca="1">IFERROR(__xludf.DUMMYFUNCTION("""COMPUTED_VALUE"""),"Mobile SMARTS: Магазин 15, БАЗОВЫЙ для интеграции через OLE/COM ")</f>
        <v xml:space="preserve">Mobile SMARTS: Магазин 15, БАЗОВЫЙ для интеграции через OLE/COM </v>
      </c>
      <c r="F623" s="5">
        <f ca="1">IFERROR(__xludf.DUMMYFUNCTION("""COMPUTED_VALUE"""),10650)</f>
        <v>10650</v>
      </c>
    </row>
    <row r="624" spans="1:6" ht="86.25" customHeight="1" x14ac:dyDescent="0.2">
      <c r="A624" s="4" t="str">
        <f ca="1">IFERROR(__xludf.DUMMYFUNCTION("""COMPUTED_VALUE"""),"интеграции через OLE/COM")</f>
        <v>интеграции через OLE/COM</v>
      </c>
      <c r="B624" s="4" t="str">
        <f ca="1">IFERROR(__xludf.DUMMYFUNCTION("""COMPUTED_VALUE"""),"РАСШИРЕННЫЙ")</f>
        <v>РАСШИРЕННЫЙ</v>
      </c>
      <c r="C624" s="4" t="str">
        <f ca="1">IFERROR(__xludf.DUMMYFUNCTION("""COMPUTED_VALUE"""),"RTL15B-OLE")</f>
        <v>RTL15B-OLE</v>
      </c>
      <c r="D624" s="4" t="str">
        <f ca="1">IFERROR(__xludf.DUMMYFUNCTION("""COMPUTED_VALUE"""),"Mobile SMARTS: Магазин 15, РАСШИРЕННЫЙ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операции:"&amp;"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РАСШИРЕННЫЙ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4" s="4" t="str">
        <f ca="1">IFERROR(__xludf.DUMMYFUNCTION("""COMPUTED_VALUE"""),"Mobile SMARTS: Магазин 15, РАСШИРЕННЫЙ для интеграции через OLE/COM ")</f>
        <v xml:space="preserve">Mobile SMARTS: Магазин 15, РАСШИРЕННЫЙ для интеграции через OLE/COM </v>
      </c>
      <c r="F624" s="5">
        <f ca="1">IFERROR(__xludf.DUMMYFUNCTION("""COMPUTED_VALUE"""),17050)</f>
        <v>17050</v>
      </c>
    </row>
    <row r="625" spans="1:6" ht="86.25" customHeight="1" x14ac:dyDescent="0.2">
      <c r="A625" s="4" t="str">
        <f ca="1">IFERROR(__xludf.DUMMYFUNCTION("""COMPUTED_VALUE"""),"интеграции через OLE/COM")</f>
        <v>интеграции через OLE/COM</v>
      </c>
      <c r="B625" s="4" t="str">
        <f ca="1">IFERROR(__xludf.DUMMYFUNCTION("""COMPUTED_VALUE"""),"МЕГАМАРКЕТ")</f>
        <v>МЕГАМАРКЕТ</v>
      </c>
      <c r="C625" s="4" t="str">
        <f ca="1">IFERROR(__xludf.DUMMYFUNCTION("""COMPUTED_VALUE"""),"RTL15C-OLE")</f>
        <v>RTL15C-OLE</v>
      </c>
      <c r="D625" s="4" t="str">
        <f ca="1">IFERROR(__xludf.DUMMYFUNCTION("""COMPUTED_VALUE"""),"Mobile SMARTS: Магазин 15, МЕГАМАРКЕТ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"&amp;"поступление,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контрагента"&amp;"х,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МЕГАМАРКЕТ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5" s="4" t="str">
        <f ca="1">IFERROR(__xludf.DUMMYFUNCTION("""COMPUTED_VALUE"""),"Mobile SMARTS: Магазин 15, МЕГАМАРКЕТ для интеграции через OLE/COM ")</f>
        <v xml:space="preserve">Mobile SMARTS: Магазин 15, МЕГАМАРКЕТ для интеграции через OLE/COM </v>
      </c>
      <c r="F625" s="5">
        <f ca="1">IFERROR(__xludf.DUMMYFUNCTION("""COMPUTED_VALUE"""),23550)</f>
        <v>23550</v>
      </c>
    </row>
    <row r="626" spans="1:6" ht="86.25" customHeight="1" x14ac:dyDescent="0.2">
      <c r="A626" s="4" t="str">
        <f ca="1">IFERROR(__xludf.DUMMYFUNCTION("""COMPUTED_VALUE"""),"интеграции через OLE/COM")</f>
        <v>интеграции через OLE/COM</v>
      </c>
      <c r="B626" s="4" t="str">
        <f ca="1">IFERROR(__xludf.DUMMYFUNCTION("""COMPUTED_VALUE"""),"с ЕГАИС, БАЗОВЫЙ")</f>
        <v>с ЕГАИС, БАЗОВЫЙ</v>
      </c>
      <c r="C626" s="4" t="str">
        <f ca="1">IFERROR(__xludf.DUMMYFUNCTION("""COMPUTED_VALUE"""),"RTL15AE-OLE")</f>
        <v>RTL15AE-OLE</v>
      </c>
      <c r="D626" s="4" t="str">
        <f ca="1">IFERROR(__xludf.DUMMYFUNCTION("""COMPUTED_VALUE"""),"Mobile SMARTS: Магазин 15 с ЕГАИС, БАЗОВЫЙ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обмен"&amp;"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мобиль"&amp;"ный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год")</f>
        <v>Mobile SMARTS: Магазин 15 с ЕГАИС, БАЗОВЫЙ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26" s="4" t="str">
        <f ca="1">IFERROR(__xludf.DUMMYFUNCTION("""COMPUTED_VALUE"""),"Mobile SMARTS: Магазин 15 с ЕГАИС, БАЗОВЫЙ для интеграции через OLE/COM ")</f>
        <v xml:space="preserve">Mobile SMARTS: Магазин 15 с ЕГАИС, БАЗОВЫЙ для интеграции через OLE/COM </v>
      </c>
      <c r="F626" s="5">
        <f ca="1">IFERROR(__xludf.DUMMYFUNCTION("""COMPUTED_VALUE"""),13000)</f>
        <v>13000</v>
      </c>
    </row>
    <row r="627" spans="1:6" ht="86.25" customHeight="1" x14ac:dyDescent="0.2">
      <c r="A627" s="4" t="str">
        <f ca="1">IFERROR(__xludf.DUMMYFUNCTION("""COMPUTED_VALUE"""),"интеграции через OLE/COM")</f>
        <v>интеграции через OLE/COM</v>
      </c>
      <c r="B627" s="4" t="str">
        <f ca="1">IFERROR(__xludf.DUMMYFUNCTION("""COMPUTED_VALUE"""),"с ЕГАИС, РАСШИРЕННЫЙ")</f>
        <v>с ЕГАИС, РАСШИРЕННЫЙ</v>
      </c>
      <c r="C627" s="4" t="str">
        <f ca="1">IFERROR(__xludf.DUMMYFUNCTION("""COMPUTED_VALUE"""),"RTL15BE-OLE")</f>
        <v>RTL15BE-OLE</v>
      </c>
      <c r="D627" s="4" t="str">
        <f ca="1">IFERROR(__xludf.DUMMYFUNCTION("""COMPUTED_VALUE"""),"Mobile SMARTS: Магазин 15 с ЕГАИС, РАСШИРЕННЫЙ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о"&amp;"бмен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мо"&amp;"бильный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ЕГАИС, РАСШИРЕННЫЙ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7" s="4" t="str">
        <f ca="1">IFERROR(__xludf.DUMMYFUNCTION("""COMPUTED_VALUE"""),"Mobile SMARTS: Магазин 15 с ЕГАИС, РАСШИРЕННЫЙ для интеграции через OLE/COM ")</f>
        <v xml:space="preserve">Mobile SMARTS: Магазин 15 с ЕГАИС, РАСШИРЕННЫЙ для интеграции через OLE/COM </v>
      </c>
      <c r="F627" s="5">
        <f ca="1">IFERROR(__xludf.DUMMYFUNCTION("""COMPUTED_VALUE"""),19450)</f>
        <v>19450</v>
      </c>
    </row>
    <row r="628" spans="1:6" ht="86.25" customHeight="1" x14ac:dyDescent="0.2">
      <c r="A628" s="4" t="str">
        <f ca="1">IFERROR(__xludf.DUMMYFUNCTION("""COMPUTED_VALUE"""),"интеграции через OLE/COM")</f>
        <v>интеграции через OLE/COM</v>
      </c>
      <c r="B628" s="4" t="str">
        <f ca="1">IFERROR(__xludf.DUMMYFUNCTION("""COMPUTED_VALUE"""),"с ЕГАИС (без CheckMark2), МЕГАМАРКЕТ")</f>
        <v>с ЕГАИС (без CheckMark2), МЕГАМАРКЕТ</v>
      </c>
      <c r="C628" s="4" t="str">
        <f ca="1">IFERROR(__xludf.DUMMYFUNCTION("""COMPUTED_VALUE"""),"RTL15CEV-OLE")</f>
        <v>RTL15CEV-OLE</v>
      </c>
      <c r="D628" s="4" t="str">
        <f ca="1">IFERROR(__xludf.DUMMYFUNCTION("""COMPUTED_VALUE"""),"Mobile SMARTS: Магазин 15 с ЕГАИС (без CheckMark2), МЕГАМАРКЕТ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ил"&amp;"и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возможнос"&amp;"ти: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подписка"&amp;" на обновления на 1 (один) год")</f>
        <v>Mobile SMARTS: Магазин 15 с ЕГАИС (без CheckMark2), МЕГАМАРКЕТ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8" s="4" t="str">
        <f ca="1">IFERROR(__xludf.DUMMYFUNCTION("""COMPUTED_VALUE"""),"Mobile SMARTS: Магазин 15 с ЕГАИС (без CheckMark2), МЕГАМАРКЕТ для интеграции через OLE/COM ")</f>
        <v xml:space="preserve">Mobile SMARTS: Магазин 15 с ЕГАИС (без CheckMark2), МЕГАМАРКЕТ для интеграции через OLE/COM </v>
      </c>
      <c r="F628" s="5">
        <f ca="1">IFERROR(__xludf.DUMMYFUNCTION("""COMPUTED_VALUE"""),25850)</f>
        <v>25850</v>
      </c>
    </row>
    <row r="629" spans="1:6" ht="86.25" customHeight="1" x14ac:dyDescent="0.2">
      <c r="A629" s="4" t="str">
        <f ca="1">IFERROR(__xludf.DUMMYFUNCTION("""COMPUTED_VALUE"""),"интеграции через OLE/COM")</f>
        <v>интеграции через OLE/COM</v>
      </c>
      <c r="B629" s="4" t="str">
        <f ca="1">IFERROR(__xludf.DUMMYFUNCTION("""COMPUTED_VALUE"""),"с МОТП, БАЗОВЫЙ")</f>
        <v>с МОТП, БАЗОВЫЙ</v>
      </c>
      <c r="C629" s="4" t="str">
        <f ca="1">IFERROR(__xludf.DUMMYFUNCTION("""COMPUTED_VALUE"""),"RTL15AT-OLE")</f>
        <v>RTL15AT-OLE</v>
      </c>
      <c r="D629" s="4" t="str">
        <f ca="1">IFERROR(__xludf.DUMMYFUNCTION("""COMPUTED_VALUE"""),"Mobile SMARTS: Магазин 15 с МОТП, БАЗОВЫЙ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он"&amp;"лайна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МОТП, БАЗОВЫЙ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9" s="4" t="str">
        <f ca="1">IFERROR(__xludf.DUMMYFUNCTION("""COMPUTED_VALUE"""),"Mobile SMARTS: Магазин 15 с МОТП, БАЗОВЫЙ для интеграции через OLE/COM ")</f>
        <v xml:space="preserve">Mobile SMARTS: Магазин 15 с МОТП, БАЗОВЫЙ для интеграции через OLE/COM </v>
      </c>
      <c r="F629" s="5">
        <f ca="1">IFERROR(__xludf.DUMMYFUNCTION("""COMPUTED_VALUE"""),13150)</f>
        <v>13150</v>
      </c>
    </row>
    <row r="630" spans="1:6" ht="86.25" customHeight="1" x14ac:dyDescent="0.2">
      <c r="A630" s="4" t="str">
        <f ca="1">IFERROR(__xludf.DUMMYFUNCTION("""COMPUTED_VALUE"""),"интеграции через OLE/COM")</f>
        <v>интеграции через OLE/COM</v>
      </c>
      <c r="B630" s="4" t="str">
        <f ca="1">IFERROR(__xludf.DUMMYFUNCTION("""COMPUTED_VALUE"""),"с МОТП, РАСШИРЕННЫЙ")</f>
        <v>с МОТП, РАСШИРЕННЫЙ</v>
      </c>
      <c r="C630" s="4" t="str">
        <f ca="1">IFERROR(__xludf.DUMMYFUNCTION("""COMPUTED_VALUE"""),"RTL15BT-OLE")</f>
        <v>RTL15BT-OLE</v>
      </c>
      <c r="D630" s="4" t="str">
        <f ca="1">IFERROR(__xludf.DUMMYFUNCTION("""COMPUTED_VALUE"""),"Mobile SMARTS: Магазин 15 с МОТП, РАСШИРЕННЫЙ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ес"&amp;"ть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/"&amp;"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МОТП, РАСШИРЕННЫЙ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0" s="4" t="str">
        <f ca="1">IFERROR(__xludf.DUMMYFUNCTION("""COMPUTED_VALUE"""),"Mobile SMARTS: Магазин 15 с МОТП, РАСШИРЕННЫЙ для интеграции через OLE/COM ")</f>
        <v xml:space="preserve">Mobile SMARTS: Магазин 15 с МОТП, РАСШИРЕННЫЙ для интеграции через OLE/COM </v>
      </c>
      <c r="F630" s="5">
        <f ca="1">IFERROR(__xludf.DUMMYFUNCTION("""COMPUTED_VALUE"""),19450)</f>
        <v>19450</v>
      </c>
    </row>
    <row r="631" spans="1:6" ht="86.25" customHeight="1" x14ac:dyDescent="0.2">
      <c r="A631" s="4" t="str">
        <f ca="1">IFERROR(__xludf.DUMMYFUNCTION("""COMPUTED_VALUE"""),"интеграции через OLE/COM")</f>
        <v>интеграции через OLE/COM</v>
      </c>
      <c r="B631" s="4" t="str">
        <f ca="1">IFERROR(__xludf.DUMMYFUNCTION("""COMPUTED_VALUE"""),"с МОТП, МЕГАМАРКЕТ")</f>
        <v>с МОТП, МЕГАМАРКЕТ</v>
      </c>
      <c r="C631" s="4" t="str">
        <f ca="1">IFERROR(__xludf.DUMMYFUNCTION("""COMPUTED_VALUE"""),"RTL15CT-OLE")</f>
        <v>RTL15CT-OLE</v>
      </c>
      <c r="D631" s="4" t="str">
        <f ca="1">IFERROR(__xludf.DUMMYFUNCTION("""COMPUTED_VALUE"""),"Mobile SMARTS: Магазин 15 с МОТП, МЕГАМАРКЕТ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ест"&amp;"ь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"&amp;"возможности: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1"&amp;" (один) год")</f>
        <v>Mobile SMARTS: Магазин 15 с МОТП, МЕГАМАРКЕТ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1" s="4" t="str">
        <f ca="1">IFERROR(__xludf.DUMMYFUNCTION("""COMPUTED_VALUE"""),"Mobile SMARTS: Магазин 15 с МОТП, МЕГАМАРКЕТ для интеграции через OLE/COM ")</f>
        <v xml:space="preserve">Mobile SMARTS: Магазин 15 с МОТП, МЕГАМАРКЕТ для интеграции через OLE/COM </v>
      </c>
      <c r="F631" s="5">
        <f ca="1">IFERROR(__xludf.DUMMYFUNCTION("""COMPUTED_VALUE"""),25850)</f>
        <v>25850</v>
      </c>
    </row>
    <row r="632" spans="1:6" ht="86.25" customHeight="1" x14ac:dyDescent="0.2">
      <c r="A632" s="4" t="str">
        <f ca="1">IFERROR(__xludf.DUMMYFUNCTION("""COMPUTED_VALUE"""),"интеграции через OLE/COM")</f>
        <v>интеграции через OLE/COM</v>
      </c>
      <c r="B632" s="4" t="str">
        <f ca="1">IFERROR(__xludf.DUMMYFUNCTION("""COMPUTED_VALUE"""),"с ЕГАИС и МОТП, БАЗОВЫЙ")</f>
        <v>с ЕГАИС и МОТП, БАЗОВЫЙ</v>
      </c>
      <c r="C632" s="4" t="str">
        <f ca="1">IFERROR(__xludf.DUMMYFUNCTION("""COMPUTED_VALUE"""),"RTL15AET-OLE")</f>
        <v>RTL15AET-OLE</v>
      </c>
      <c r="D632" s="4" t="str">
        <f ca="1">IFERROR(__xludf.DUMMYFUNCTION("""COMPUTED_VALUE"""),"Mobile SMARTS: Магазин 15 с ЕГАИС и МОТП, БАЗОВЫЙ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проводно"&amp;"й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подб"&amp;"ор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БАЗОВЫЙ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2" s="4" t="str">
        <f ca="1">IFERROR(__xludf.DUMMYFUNCTION("""COMPUTED_VALUE"""),"Mobile SMARTS: Магазин 15 с ЕГАИС и МОТП, БАЗОВЫЙ для интеграции через OLE/COM ")</f>
        <v xml:space="preserve">Mobile SMARTS: Магазин 15 с ЕГАИС и МОТП, БАЗОВЫЙ для интеграции через OLE/COM </v>
      </c>
      <c r="F632" s="5">
        <f ca="1">IFERROR(__xludf.DUMMYFUNCTION("""COMPUTED_VALUE"""),14150)</f>
        <v>14150</v>
      </c>
    </row>
    <row r="633" spans="1:6" ht="86.25" customHeight="1" x14ac:dyDescent="0.2">
      <c r="A633" s="4" t="str">
        <f ca="1">IFERROR(__xludf.DUMMYFUNCTION("""COMPUTED_VALUE"""),"интеграции через OLE/COM")</f>
        <v>интеграции через OLE/COM</v>
      </c>
      <c r="B633" s="4" t="str">
        <f ca="1">IFERROR(__xludf.DUMMYFUNCTION("""COMPUTED_VALUE"""),"с ЕГАИС и МОТП, РАСШИРЕННЫЙ")</f>
        <v>с ЕГАИС и МОТП, РАСШИРЕННЫЙ</v>
      </c>
      <c r="C633" s="4" t="str">
        <f ca="1">IFERROR(__xludf.DUMMYFUNCTION("""COMPUTED_VALUE"""),"RTL15BET-OLE")</f>
        <v>RTL15BET-OLE</v>
      </c>
      <c r="D633" s="4" t="str">
        <f ca="1">IFERROR(__xludf.DUMMYFUNCTION("""COMPUTED_VALUE"""),"Mobile SMARTS: Магазин 15 с ЕГАИС и МОТП, РАСШИРЕННЫЙ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пров"&amp;"одной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"&amp;"подбор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РАСШИРЕННЫЙ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3" s="4" t="str">
        <f ca="1">IFERROR(__xludf.DUMMYFUNCTION("""COMPUTED_VALUE"""),"Mobile SMARTS: Магазин 15 с ЕГАИС и МОТП, РАСШИРЕННЫЙ для интеграции через OLE/COM ")</f>
        <v xml:space="preserve">Mobile SMARTS: Магазин 15 с ЕГАИС и МОТП, РАСШИРЕННЫЙ для интеграции через OLE/COM </v>
      </c>
      <c r="F633" s="5">
        <f ca="1">IFERROR(__xludf.DUMMYFUNCTION("""COMPUTED_VALUE"""),20550)</f>
        <v>20550</v>
      </c>
    </row>
    <row r="634" spans="1:6" ht="86.25" customHeight="1" x14ac:dyDescent="0.2">
      <c r="A634" s="4" t="str">
        <f ca="1">IFERROR(__xludf.DUMMYFUNCTION("""COMPUTED_VALUE"""),"интеграции через OLE/COM")</f>
        <v>интеграции через OLE/COM</v>
      </c>
      <c r="B634" s="4" t="str">
        <f ca="1">IFERROR(__xludf.DUMMYFUNCTION("""COMPUTED_VALUE"""),"с ЕГАИС и МОТП, МЕГАМАРКЕТ")</f>
        <v>с ЕГАИС и МОТП, МЕГАМАРКЕТ</v>
      </c>
      <c r="C634" s="4" t="str">
        <f ca="1">IFERROR(__xludf.DUMMYFUNCTION("""COMPUTED_VALUE"""),"RTL15CET-OLE")</f>
        <v>RTL15CET-OLE</v>
      </c>
      <c r="D634" s="4" t="str">
        <f ca="1">IFERROR(__xludf.DUMMYFUNCTION("""COMPUTED_VALUE"""),"Mobile SMARTS: Магазин 15 с ЕГАИС и МОТП, МЕГАМАРКЕТ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прово"&amp;"дной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п"&amp;"одбор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ост"&amp;"атках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МЕГАМАРКЕТ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4" s="4" t="str">
        <f ca="1">IFERROR(__xludf.DUMMYFUNCTION("""COMPUTED_VALUE"""),"Mobile SMARTS: Магазин 15 с ЕГАИС и МОТП, МЕГАМАРКЕТ для интеграции через OLE/COM ")</f>
        <v xml:space="preserve">Mobile SMARTS: Магазин 15 с ЕГАИС и МОТП, МЕГАМАРКЕТ для интеграции через OLE/COM </v>
      </c>
      <c r="F634" s="5">
        <f ca="1">IFERROR(__xludf.DUMMYFUNCTION("""COMPUTED_VALUE"""),28350)</f>
        <v>28350</v>
      </c>
    </row>
    <row r="635" spans="1:6" ht="86.25" customHeight="1" x14ac:dyDescent="0.2">
      <c r="A635" s="4" t="str">
        <f ca="1">IFERROR(__xludf.DUMMYFUNCTION("""COMPUTED_VALUE"""),"интеграции через OLE/COM")</f>
        <v>интеграции через OLE/COM</v>
      </c>
      <c r="B635" s="4" t="str">
        <f ca="1">IFERROR(__xludf.DUMMYFUNCTION("""COMPUTED_VALUE"""),"ШМОТКИ, БАЗОВЫЙ")</f>
        <v>ШМОТКИ, БАЗОВЫЙ</v>
      </c>
      <c r="C635" s="4" t="str">
        <f ca="1">IFERROR(__xludf.DUMMYFUNCTION("""COMPUTED_VALUE"""),"RTL15AK-OLE")</f>
        <v>RTL15AK-OLE</v>
      </c>
      <c r="D635" s="4" t="str">
        <f ca="1">IFERROR(__xludf.DUMMYFUNCTION("""COMPUTED_VALUE"""),"Mobile SMARTS: Магазин 15 с КИРОВКОЙ, БАЗОВЫЙ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и"&amp;"ли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просмотр"&amp;"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обновлени"&amp;"я на 1 (один) год")</f>
        <v>Mobile SMARTS: Магазин 15 с КИРОВКОЙ, БАЗОВЫЙ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5" s="4" t="str">
        <f ca="1">IFERROR(__xludf.DUMMYFUNCTION("""COMPUTED_VALUE"""),"Mobile SMARTS: Магазин 15 с КИРОВКОЙ, БАЗОВЫЙ для интеграции через OLE/COM ")</f>
        <v xml:space="preserve">Mobile SMARTS: Магазин 15 с КИРОВКОЙ, БАЗОВЫЙ для интеграции через OLE/COM </v>
      </c>
      <c r="F635" s="5">
        <f ca="1">IFERROR(__xludf.DUMMYFUNCTION("""COMPUTED_VALUE"""),14150)</f>
        <v>14150</v>
      </c>
    </row>
    <row r="636" spans="1:6" ht="86.25" customHeight="1" x14ac:dyDescent="0.2">
      <c r="A636" s="4" t="str">
        <f ca="1">IFERROR(__xludf.DUMMYFUNCTION("""COMPUTED_VALUE"""),"интеграции через OLE/COM")</f>
        <v>интеграции через OLE/COM</v>
      </c>
      <c r="B636" s="4" t="str">
        <f ca="1">IFERROR(__xludf.DUMMYFUNCTION("""COMPUTED_VALUE"""),"ШМОТКИ, РАСШИРЕННЫЙ")</f>
        <v>ШМОТКИ, РАСШИРЕННЫЙ</v>
      </c>
      <c r="C636" s="4" t="str">
        <f ca="1">IFERROR(__xludf.DUMMYFUNCTION("""COMPUTED_VALUE"""),"RTL15BK-OLE")</f>
        <v>RTL15BK-OLE</v>
      </c>
      <c r="D636" s="4" t="str">
        <f ca="1">IFERROR(__xludf.DUMMYFUNCTION("""COMPUTED_VALUE"""),"Mobile SMARTS: Магазин 15 с КИРОВКОЙ, РАСШИРЕННЫЙ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проводн"&amp;"ой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прос"&amp;"мотр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на 1 (один) год")</f>
        <v>Mobile SMARTS: Магазин 15 с КИРОВКОЙ, РАСШИРЕННЫЙ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6" s="4" t="str">
        <f ca="1">IFERROR(__xludf.DUMMYFUNCTION("""COMPUTED_VALUE"""),"Mobile SMARTS: Магазин 15 с КИРОВКОЙ, РАСШИРЕННЫЙ для интеграции через OLE/COM ")</f>
        <v xml:space="preserve">Mobile SMARTS: Магазин 15 с КИРОВКОЙ, РАСШИРЕННЫЙ для интеграции через OLE/COM </v>
      </c>
      <c r="F636" s="5">
        <f ca="1">IFERROR(__xludf.DUMMYFUNCTION("""COMPUTED_VALUE"""),20550)</f>
        <v>20550</v>
      </c>
    </row>
    <row r="637" spans="1:6" ht="86.25" customHeight="1" x14ac:dyDescent="0.2">
      <c r="A637" s="4" t="str">
        <f ca="1">IFERROR(__xludf.DUMMYFUNCTION("""COMPUTED_VALUE"""),"интеграции через OLE/COM")</f>
        <v>интеграции через OLE/COM</v>
      </c>
      <c r="B637" s="4" t="str">
        <f ca="1">IFERROR(__xludf.DUMMYFUNCTION("""COMPUTED_VALUE"""),"ШМОТКИ, МЕГАМАРКЕТ")</f>
        <v>ШМОТКИ, МЕГАМАРКЕТ</v>
      </c>
      <c r="C637" s="4" t="str">
        <f ca="1">IFERROR(__xludf.DUMMYFUNCTION("""COMPUTED_VALUE"""),"RTL15CK-OLE")</f>
        <v>RTL15CK-OLE</v>
      </c>
      <c r="D637" s="4" t="str">
        <f ca="1">IFERROR(__xludf.DUMMYFUNCTION("""COMPUTED_VALUE"""),"Mobile SMARTS: Магазин 15 с КИРОВКОЙ, МЕГАМАРКЕТ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проводно"&amp;"й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просм"&amp;"отр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устройств"&amp;"о, подписка на обновления на 1 (один) год")</f>
        <v>Mobile SMARTS: Магазин 15 с КИРОВКОЙ, МЕГАМАРКЕТ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7" s="4" t="str">
        <f ca="1">IFERROR(__xludf.DUMMYFUNCTION("""COMPUTED_VALUE"""),"Mobile SMARTS: Магазин 15 с КИРОВКОЙ, МЕГАМАРКЕТ для интеграции через OLE/COM ")</f>
        <v xml:space="preserve">Mobile SMARTS: Магазин 15 с КИРОВКОЙ, МЕГАМАРКЕТ для интеграции через OLE/COM </v>
      </c>
      <c r="F637" s="5">
        <f ca="1">IFERROR(__xludf.DUMMYFUNCTION("""COMPUTED_VALUE"""),28350)</f>
        <v>28350</v>
      </c>
    </row>
    <row r="638" spans="1:6" ht="86.25" customHeight="1" x14ac:dyDescent="0.2">
      <c r="A638" s="4" t="str">
        <f ca="1">IFERROR(__xludf.DUMMYFUNCTION("""COMPUTED_VALUE"""),"интеграции через OLE/COM")</f>
        <v>интеграции через OLE/COM</v>
      </c>
      <c r="B638" s="4" t="str">
        <f ca="1">IFERROR(__xludf.DUMMYFUNCTION("""COMPUTED_VALUE"""),"с МДЛП, БАЗОВЫЙ")</f>
        <v>с МДЛП, БАЗОВЫЙ</v>
      </c>
      <c r="C638" s="4" t="str">
        <f ca="1">IFERROR(__xludf.DUMMYFUNCTION("""COMPUTED_VALUE"""),"RTL15AL-OLE")</f>
        <v>RTL15AL-OLE</v>
      </c>
      <c r="D638" s="4" t="str">
        <f ca="1">IFERROR(__xludf.DUMMYFUNCTION("""COMPUTED_VALUE"""),"Mobile SMARTS: Магазин 15 с МДЛП, БАЗОВЫЙ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беспроводн"&amp;"ой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справочников"&amp;",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(один)"&amp;" год")</f>
        <v>Mobile SMARTS: Магазин 15 с МДЛП, БАЗОВЫЙ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8" s="4" t="str">
        <f ca="1">IFERROR(__xludf.DUMMYFUNCTION("""COMPUTED_VALUE"""),"Mobile SMARTS: Магазин 15 с МДЛП, БАЗОВЫЙ для интеграции через OLE/COM ")</f>
        <v xml:space="preserve">Mobile SMARTS: Магазин 15 с МДЛП, БАЗОВЫЙ для интеграции через OLE/COM </v>
      </c>
      <c r="F638" s="5">
        <f ca="1">IFERROR(__xludf.DUMMYFUNCTION("""COMPUTED_VALUE"""),10458)</f>
        <v>10458</v>
      </c>
    </row>
    <row r="639" spans="1:6" ht="86.25" customHeight="1" x14ac:dyDescent="0.2">
      <c r="A639" s="4" t="str">
        <f ca="1">IFERROR(__xludf.DUMMYFUNCTION("""COMPUTED_VALUE"""),"интеграции через OLE/COM")</f>
        <v>интеграции через OLE/COM</v>
      </c>
      <c r="B639" s="4" t="str">
        <f ca="1">IFERROR(__xludf.DUMMYFUNCTION("""COMPUTED_VALUE"""),"с МДЛП, РАСШИРЕННЫЙ")</f>
        <v>с МДЛП, РАСШИРЕННЫЙ</v>
      </c>
      <c r="C639" s="4" t="str">
        <f ca="1">IFERROR(__xludf.DUMMYFUNCTION("""COMPUTED_VALUE"""),"RTL15BL-OLE")</f>
        <v>RTL15BL-OLE</v>
      </c>
      <c r="D639" s="4" t="str">
        <f ca="1">IFERROR(__xludf.DUMMYFUNCTION("""COMPUTED_VALUE"""),"Mobile SMARTS: Магазин 15 с МДЛП, РАСШИРЕННЫЙ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беспро"&amp;"водной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справочн"&amp;"иков,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(о"&amp;"дин) год")</f>
        <v>Mobile SMARTS: Магазин 15 с МДЛП, РАСШИРЕННЫЙ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9" s="4" t="str">
        <f ca="1">IFERROR(__xludf.DUMMYFUNCTION("""COMPUTED_VALUE"""),"Mobile SMARTS: Магазин 15 с МДЛП, РАСШИРЕННЫЙ для интеграции через OLE/COM ")</f>
        <v xml:space="preserve">Mobile SMARTS: Магазин 15 с МДЛП, РАСШИРЕННЫЙ для интеграции через OLE/COM </v>
      </c>
      <c r="F639" s="5">
        <f ca="1">IFERROR(__xludf.DUMMYFUNCTION("""COMPUTED_VALUE"""),15378)</f>
        <v>15378</v>
      </c>
    </row>
    <row r="640" spans="1:6" ht="86.25" customHeight="1" x14ac:dyDescent="0.2">
      <c r="A640" s="4" t="str">
        <f ca="1">IFERROR(__xludf.DUMMYFUNCTION("""COMPUTED_VALUE"""),"интеграции через OLE/COM")</f>
        <v>интеграции через OLE/COM</v>
      </c>
      <c r="B640" s="4" t="str">
        <f ca="1">IFERROR(__xludf.DUMMYFUNCTION("""COMPUTED_VALUE"""),"с МДЛП, МЕГАМАРКЕТ")</f>
        <v>с МДЛП, МЕГАМАРКЕТ</v>
      </c>
      <c r="C640" s="4" t="str">
        <f ca="1">IFERROR(__xludf.DUMMYFUNCTION("""COMPUTED_VALUE"""),"RTL15CL-OLE")</f>
        <v>RTL15CL-OLE</v>
      </c>
      <c r="D640" s="4" t="str">
        <f ca="1">IFERROR(__xludf.DUMMYFUNCTION("""COMPUTED_VALUE"""),"Mobile SMARTS: Магазин 15 с МДЛП, МЕГАМАРКЕТ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беспров"&amp;"одной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справочни"&amp;"ков,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н"&amp;"а обновления на 1 (один) год")</f>
        <v>Mobile SMARTS: Магазин 15 с МДЛП, МЕГАМАРКЕТ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0" s="4" t="str">
        <f ca="1">IFERROR(__xludf.DUMMYFUNCTION("""COMPUTED_VALUE"""),"Mobile SMARTS: Магазин 15 с МДЛП, МЕГАМАРКЕТ для интеграции через OLE/COM ")</f>
        <v xml:space="preserve">Mobile SMARTS: Магазин 15 с МДЛП, МЕГАМАРКЕТ для интеграции через OLE/COM </v>
      </c>
      <c r="F640" s="5">
        <f ca="1">IFERROR(__xludf.DUMMYFUNCTION("""COMPUTED_VALUE"""),22698)</f>
        <v>22698</v>
      </c>
    </row>
    <row r="641" spans="1:6" ht="86.25" customHeight="1" x14ac:dyDescent="0.2">
      <c r="A641" s="4" t="str">
        <f ca="1">IFERROR(__xludf.DUMMYFUNCTION("""COMPUTED_VALUE"""),"интеграции через OLE/COM")</f>
        <v>интеграции через OLE/COM</v>
      </c>
      <c r="B641" s="4" t="str">
        <f ca="1">IFERROR(__xludf.DUMMYFUNCTION("""COMPUTED_VALUE"""),"ПРОДУКТОВЫЙ, БАЗОВЫЙ")</f>
        <v>ПРОДУКТОВЫЙ, БАЗОВЫЙ</v>
      </c>
      <c r="C641" s="4" t="str">
        <f ca="1">IFERROR(__xludf.DUMMYFUNCTION("""COMPUTED_VALUE"""),"RTL15AG-OLE")</f>
        <v>RTL15AG-OLE</v>
      </c>
      <c r="D641" s="4" t="str">
        <f ca="1">IFERROR(__xludf.DUMMYFUNCTION("""COMPUTED_VALUE"""),"Mobile SMARTS: Магазин 15 ПРОДУКТОВЫЙ, БАЗОВЫЙ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тов"&amp;"аром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мобил"&amp;"ьный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кон"&amp;"трагентах,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41" s="4" t="str">
        <f ca="1">IFERROR(__xludf.DUMMYFUNCTION("""COMPUTED_VALUE"""),"Mobile SMARTS: Магазин 15 ПРОДУКТОВЫЙ, БАЗОВЫЙ для интеграции через OLE/COM ")</f>
        <v xml:space="preserve">Mobile SMARTS: Магазин 15 ПРОДУКТОВЫЙ, БАЗОВЫЙ для интеграции через OLE/COM </v>
      </c>
      <c r="F641" s="5">
        <f ca="1">IFERROR(__xludf.DUMMYFUNCTION("""COMPUTED_VALUE"""),13158)</f>
        <v>13158</v>
      </c>
    </row>
    <row r="642" spans="1:6" ht="86.25" customHeight="1" x14ac:dyDescent="0.2">
      <c r="A642" s="4" t="str">
        <f ca="1">IFERROR(__xludf.DUMMYFUNCTION("""COMPUTED_VALUE"""),"интеграции через OLE/COM")</f>
        <v>интеграции через OLE/COM</v>
      </c>
      <c r="B642" s="4" t="str">
        <f ca="1">IFERROR(__xludf.DUMMYFUNCTION("""COMPUTED_VALUE"""),"ПРОДУКТОВЫЙ, РАСШИРЕННЫЙ")</f>
        <v>ПРОДУКТОВЫЙ, РАСШИРЕННЫЙ</v>
      </c>
      <c r="C642" s="4" t="str">
        <f ca="1">IFERROR(__xludf.DUMMYFUNCTION("""COMPUTED_VALUE"""),"RTL15BG-OLE")</f>
        <v>RTL15BG-OLE</v>
      </c>
      <c r="D642" s="4" t="str">
        <f ca="1">IFERROR(__xludf.DUMMYFUNCTION("""COMPUTED_VALUE"""),"Mobile SMARTS: Магазин 15 ПРОДУКТОВЫЙ, РАСШИРЕННЫЙ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и"&amp;"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м"&amp;"обильный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42" s="4" t="str">
        <f ca="1">IFERROR(__xludf.DUMMYFUNCTION("""COMPUTED_VALUE"""),"Mobile SMARTS: Магазин 15 ПРОДУКТОВЫЙ, РАСШИРЕННЫЙ для интеграции через OLE/COM ")</f>
        <v xml:space="preserve">Mobile SMARTS: Магазин 15 ПРОДУКТОВЫЙ, РАСШИРЕННЫЙ для интеграции через OLE/COM </v>
      </c>
      <c r="F642" s="5">
        <f ca="1">IFERROR(__xludf.DUMMYFUNCTION("""COMPUTED_VALUE"""),18078)</f>
        <v>18078</v>
      </c>
    </row>
    <row r="643" spans="1:6" ht="86.25" customHeight="1" x14ac:dyDescent="0.2">
      <c r="A643" s="4" t="str">
        <f ca="1">IFERROR(__xludf.DUMMYFUNCTION("""COMPUTED_VALUE"""),"интеграции через OLE/COM")</f>
        <v>интеграции через OLE/COM</v>
      </c>
      <c r="B643" s="4" t="str">
        <f ca="1">IFERROR(__xludf.DUMMYFUNCTION("""COMPUTED_VALUE"""),"ПРОДУКТОВЫЙ, МЕГАМАРКЕТ")</f>
        <v>ПРОДУКТОВЫЙ, МЕГАМАРКЕТ</v>
      </c>
      <c r="C643" s="4" t="str">
        <f ca="1">IFERROR(__xludf.DUMMYFUNCTION("""COMPUTED_VALUE"""),"RTL15CG-OLE")</f>
        <v>RTL15CG-OLE</v>
      </c>
      <c r="D643" s="4" t="str">
        <f ca="1">IFERROR(__xludf.DUMMYFUNCTION("""COMPUTED_VALUE"""),"Mobile SMARTS: Магазин 15 ПРОДУКТОВЫЙ, МЕГАМАРКЕТ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"&amp;"товаром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мо"&amp;"бильный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информаци"&amp;"я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43" s="4" t="str">
        <f ca="1">IFERROR(__xludf.DUMMYFUNCTION("""COMPUTED_VALUE"""),"Mobile SMARTS: Магазин 15 ПРОДУКТОВЫЙ, МЕГАМАРКЕТ для интеграции через OLE/COM ")</f>
        <v xml:space="preserve">Mobile SMARTS: Магазин 15 ПРОДУКТОВЫЙ, МЕГАМАРКЕТ для интеграции через OLE/COM </v>
      </c>
      <c r="F643" s="5">
        <f ca="1">IFERROR(__xludf.DUMMYFUNCTION("""COMPUTED_VALUE"""),30169)</f>
        <v>30169</v>
      </c>
    </row>
    <row r="644" spans="1:6" ht="86.25" customHeight="1" x14ac:dyDescent="0.2">
      <c r="A644" s="4" t="str">
        <f ca="1">IFERROR(__xludf.DUMMYFUNCTION("""COMPUTED_VALUE"""),"интеграции через TXT, CSV, Excel")</f>
        <v>интеграции через TXT, CSV, Excel</v>
      </c>
      <c r="B644" s="4" t="str">
        <f ca="1">IFERROR(__xludf.DUMMYFUNCTION("""COMPUTED_VALUE"""),"МИНИМУМ")</f>
        <v>МИНИМУМ</v>
      </c>
      <c r="C644" s="4" t="str">
        <f ca="1">IFERROR(__xludf.DUMMYFUNCTION("""COMPUTED_VALUE"""),"RTL15M-TXT")</f>
        <v>RTL15M-TXT</v>
      </c>
      <c r="D644" s="4" t="str">
        <f ca="1">IFERROR(__xludf.DUMMYFUNCTION("""COMPUTED_VALUE"""),"Mobile SMARTS: Магазин 15, МИНИМУМ для интеграции через TXT, CSV, Excel /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воз"&amp;"можности: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год")</f>
        <v>Mobile SMARTS: Магазин 15, МИНИМУМ для интеграции через TXT, CSV, Excel /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644" s="4" t="str">
        <f ca="1">IFERROR(__xludf.DUMMYFUNCTION("""COMPUTED_VALUE"""),"Mobile SMARTS: Магазин 15, МИНИМУМ для интеграции через TXT, CSV, Excel ")</f>
        <v xml:space="preserve">Mobile SMARTS: Магазин 15, МИНИМУМ для интеграции через TXT, CSV, Excel </v>
      </c>
      <c r="F644" s="5">
        <f ca="1">IFERROR(__xludf.DUMMYFUNCTION("""COMPUTED_VALUE"""),3450)</f>
        <v>3450</v>
      </c>
    </row>
    <row r="645" spans="1:6" ht="86.25" customHeight="1" x14ac:dyDescent="0.2">
      <c r="A645" s="4" t="str">
        <f ca="1">IFERROR(__xludf.DUMMYFUNCTION("""COMPUTED_VALUE"""),"интеграции через TXT, CSV, Excel")</f>
        <v>интеграции через TXT, CSV, Excel</v>
      </c>
      <c r="B645" s="4" t="str">
        <f ca="1">IFERROR(__xludf.DUMMYFUNCTION("""COMPUTED_VALUE"""),"БАЗОВЫЙ")</f>
        <v>БАЗОВЫЙ</v>
      </c>
      <c r="C645" s="4" t="str">
        <f ca="1">IFERROR(__xludf.DUMMYFUNCTION("""COMPUTED_VALUE"""),"RTL15A-TXT")</f>
        <v>RTL15A-TXT</v>
      </c>
      <c r="D645" s="4" t="str">
        <f ca="1">IFERROR(__xludf.DUMMYFUNCTION("""COMPUTED_VALUE"""),"Mobile SMARTS: Магазин 15, БАЗОВЫЙ для интеграции через TXT, CSV, Excel /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мобил"&amp;"ьный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добавлять"&amp;" свои операции / бессрочная лицензия на 1 (одно) моб. устройство, подписка на обновления на 1 (один) год")</f>
        <v>Mobile SMARTS: Магазин 15, БАЗОВЫЙ для интеграции через TXT, CSV, Excel /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5" s="4" t="str">
        <f ca="1">IFERROR(__xludf.DUMMYFUNCTION("""COMPUTED_VALUE"""),"Mobile SMARTS: Магазин 15, БАЗОВЫЙ для интеграции через TXT, CSV, Excel ")</f>
        <v xml:space="preserve">Mobile SMARTS: Магазин 15, БАЗОВЫЙ для интеграции через TXT, CSV, Excel </v>
      </c>
      <c r="F645" s="5">
        <f ca="1">IFERROR(__xludf.DUMMYFUNCTION("""COMPUTED_VALUE"""),8650)</f>
        <v>8650</v>
      </c>
    </row>
    <row r="646" spans="1:6" ht="86.25" customHeight="1" x14ac:dyDescent="0.2">
      <c r="A646" s="4" t="str">
        <f ca="1">IFERROR(__xludf.DUMMYFUNCTION("""COMPUTED_VALUE"""),"интеграции через TXT, CSV, Excel")</f>
        <v>интеграции через TXT, CSV, Excel</v>
      </c>
      <c r="B646" s="4" t="str">
        <f ca="1">IFERROR(__xludf.DUMMYFUNCTION("""COMPUTED_VALUE"""),"РАСШИРЕННЫЙ")</f>
        <v>РАСШИРЕННЫЙ</v>
      </c>
      <c r="C646" s="4" t="str">
        <f ca="1">IFERROR(__xludf.DUMMYFUNCTION("""COMPUTED_VALUE"""),"RTL15B-TXT")</f>
        <v>RTL15B-TXT</v>
      </c>
      <c r="D646" s="4" t="str">
        <f ca="1">IFERROR(__xludf.DUMMYFUNCTION("""COMPUTED_VALUE"""),"Mobile SMARTS: Магазин 15, РАСШИРЕННЫЙ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м"&amp;"обильный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добав"&amp;"лять свои операции / бессрочная лицензия на 1 (одно) моб. устройство, подписка на обновления на 1 (один) год")</f>
        <v>Mobile SMARTS: Магазин 15, РАСШИРЕННЫЙ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6" s="4" t="str">
        <f ca="1">IFERROR(__xludf.DUMMYFUNCTION("""COMPUTED_VALUE"""),"Mobile SMARTS: Магазин 15, РАСШИРЕННЫЙ для интеграции через TXT, CSV, Excel ")</f>
        <v xml:space="preserve">Mobile SMARTS: Магазин 15, РАСШИРЕННЫЙ для интеграции через TXT, CSV, Excel </v>
      </c>
      <c r="F646" s="5">
        <f ca="1">IFERROR(__xludf.DUMMYFUNCTION("""COMPUTED_VALUE"""),15050)</f>
        <v>15050</v>
      </c>
    </row>
    <row r="647" spans="1:6" ht="86.25" customHeight="1" x14ac:dyDescent="0.2">
      <c r="A647" s="4" t="str">
        <f ca="1">IFERROR(__xludf.DUMMYFUNCTION("""COMPUTED_VALUE"""),"интеграции через TXT, CSV, Excel")</f>
        <v>интеграции через TXT, CSV, Excel</v>
      </c>
      <c r="B647" s="4" t="str">
        <f ca="1">IFERROR(__xludf.DUMMYFUNCTION("""COMPUTED_VALUE"""),"МЕГАМАРКЕТ")</f>
        <v>МЕГАМАРКЕТ</v>
      </c>
      <c r="C647" s="4" t="str">
        <f ca="1">IFERROR(__xludf.DUMMYFUNCTION("""COMPUTED_VALUE"""),"RTL15C-TXT")</f>
        <v>RTL15C-TXT</v>
      </c>
      <c r="D647" s="4" t="str">
        <f ca="1">IFERROR(__xludf.DUMMYFUNCTION("""COMPUTED_VALUE"""),"Mobile SMARTS: Магазин 15, МЕГАМАРКЕТ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мо"&amp;"бильный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операций"&amp;" / возможность добавлять свои операции / бессрочная лицензия на 1 (одно) моб. устройство, подписка на обновления на 1 (один) год")</f>
        <v>Mobile SMARTS: Магазин 15, МЕГАМАРКЕТ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7" s="4" t="str">
        <f ca="1">IFERROR(__xludf.DUMMYFUNCTION("""COMPUTED_VALUE"""),"Mobile SMARTS: Магазин 15, МЕГАМАРКЕТ для интеграции через TXT, CSV, Excel ")</f>
        <v xml:space="preserve">Mobile SMARTS: Магазин 15, МЕГАМАРКЕТ для интеграции через TXT, CSV, Excel </v>
      </c>
      <c r="F647" s="5">
        <f ca="1">IFERROR(__xludf.DUMMYFUNCTION("""COMPUTED_VALUE"""),21550)</f>
        <v>21550</v>
      </c>
    </row>
    <row r="648" spans="1:6" ht="86.25" customHeight="1" x14ac:dyDescent="0.2">
      <c r="A648" s="4" t="str">
        <f ca="1">IFERROR(__xludf.DUMMYFUNCTION("""COMPUTED_VALUE"""),"интеграции через TXT, CSV, Excel")</f>
        <v>интеграции через TXT, CSV, Excel</v>
      </c>
      <c r="B648" s="4" t="str">
        <f ca="1">IFERROR(__xludf.DUMMYFUNCTION("""COMPUTED_VALUE"""),"с ЕГАИС, БАЗОВЫЙ")</f>
        <v>с ЕГАИС, БАЗОВЫЙ</v>
      </c>
      <c r="C648" s="4" t="str">
        <f ca="1">IFERROR(__xludf.DUMMYFUNCTION("""COMPUTED_VALUE"""),"RTL15AE-TXT")</f>
        <v>RTL15AE-TXT</v>
      </c>
      <c r="D648" s="4" t="str">
        <f ca="1">IFERROR(__xludf.DUMMYFUNCTION("""COMPUTED_VALUE"""),"Mobile SMARTS: Магазин 15 с ЕГАИС, БАЗОВЫЙ для интеграции через TXT, CSV, Excel /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алк"&amp;"оголя,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остатк"&amp;"ах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год")</f>
        <v>Mobile SMARTS: Магазин 15 с ЕГАИС, БАЗОВЫЙ для интеграции через TXT, CSV, Excel /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48" s="4" t="str">
        <f ca="1">IFERROR(__xludf.DUMMYFUNCTION("""COMPUTED_VALUE"""),"Mobile SMARTS: Магазин 15 с ЕГАИС, БАЗОВЫЙ для интеграции через TXT, CSV, Excel ")</f>
        <v xml:space="preserve">Mobile SMARTS: Магазин 15 с ЕГАИС, БАЗОВЫЙ для интеграции через TXT, CSV, Excel </v>
      </c>
      <c r="F648" s="5">
        <f ca="1">IFERROR(__xludf.DUMMYFUNCTION("""COMPUTED_VALUE"""),11000)</f>
        <v>11000</v>
      </c>
    </row>
    <row r="649" spans="1:6" ht="86.25" customHeight="1" x14ac:dyDescent="0.2">
      <c r="A649" s="4" t="str">
        <f ca="1">IFERROR(__xludf.DUMMYFUNCTION("""COMPUTED_VALUE"""),"интеграции через TXT, CSV, Excel")</f>
        <v>интеграции через TXT, CSV, Excel</v>
      </c>
      <c r="B649" s="4" t="str">
        <f ca="1">IFERROR(__xludf.DUMMYFUNCTION("""COMPUTED_VALUE"""),"с ЕГАИС, РАСШИРЕННЫЙ")</f>
        <v>с ЕГАИС, РАСШИРЕННЫЙ</v>
      </c>
      <c r="C649" s="4" t="str">
        <f ca="1">IFERROR(__xludf.DUMMYFUNCTION("""COMPUTED_VALUE"""),"RTL15BE-TXT")</f>
        <v>RTL15BE-TXT</v>
      </c>
      <c r="D649" s="4" t="str">
        <f ca="1">IFERROR(__xludf.DUMMYFUNCTION("""COMPUTED_VALUE"""),"Mobile SMARTS: Магазин 15 с ЕГАИС, РАСШИРЕННЫЙ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приемка"&amp;"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ЕГАИС, РАСШИРЕННЫЙ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9" s="4" t="str">
        <f ca="1">IFERROR(__xludf.DUMMYFUNCTION("""COMPUTED_VALUE"""),"Mobile SMARTS: Магазин 15 с ЕГАИС, РАСШИРЕННЫЙ для интеграции через TXT, CSV, Excel ")</f>
        <v xml:space="preserve">Mobile SMARTS: Магазин 15 с ЕГАИС, РАСШИРЕННЫЙ для интеграции через TXT, CSV, Excel </v>
      </c>
      <c r="F649" s="5">
        <f ca="1">IFERROR(__xludf.DUMMYFUNCTION("""COMPUTED_VALUE"""),17450)</f>
        <v>17450</v>
      </c>
    </row>
    <row r="650" spans="1:6" ht="86.25" customHeight="1" x14ac:dyDescent="0.2">
      <c r="A650" s="4" t="str">
        <f ca="1">IFERROR(__xludf.DUMMYFUNCTION("""COMPUTED_VALUE"""),"интеграции через TXT, CSV, Excel")</f>
        <v>интеграции через TXT, CSV, Excel</v>
      </c>
      <c r="B650" s="4" t="str">
        <f ca="1">IFERROR(__xludf.DUMMYFUNCTION("""COMPUTED_VALUE"""),"с ЕГАИС (без CheckMark2), МЕГАМАРКЕТ")</f>
        <v>с ЕГАИС (без CheckMark2), МЕГАМАРКЕТ</v>
      </c>
      <c r="C650" s="4" t="str">
        <f ca="1">IFERROR(__xludf.DUMMYFUNCTION("""COMPUTED_VALUE"""),"RTL15CEV-TXT")</f>
        <v>RTL15CEV-TXT</v>
      </c>
      <c r="D650" s="4" t="str">
        <f ca="1">IFERROR(__xludf.DUMMYFUNCTION("""COMPUTED_VALUE"""),"Mobile SMARTS: Магазин 15 с ЕГАИС (без CheckMark2), МЕГАМАРКЕТ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операции: сбор а"&amp;"лкоголя,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(без CheckMark2), МЕГАМАРКЕТ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0" s="4" t="str">
        <f ca="1">IFERROR(__xludf.DUMMYFUNCTION("""COMPUTED_VALUE"""),"Mobile SMARTS: Магазин 15 с ЕГАИС (без CheckMark2), МЕГАМАРКЕТ для интеграции через TXT, CSV, Excel ")</f>
        <v xml:space="preserve">Mobile SMARTS: Магазин 15 с ЕГАИС (без CheckMark2), МЕГАМАРКЕТ для интеграции через TXT, CSV, Excel </v>
      </c>
      <c r="F650" s="5">
        <f ca="1">IFERROR(__xludf.DUMMYFUNCTION("""COMPUTED_VALUE"""),23850)</f>
        <v>23850</v>
      </c>
    </row>
    <row r="651" spans="1:6" ht="86.25" customHeight="1" x14ac:dyDescent="0.2">
      <c r="A651" s="4" t="str">
        <f ca="1">IFERROR(__xludf.DUMMYFUNCTION("""COMPUTED_VALUE"""),"интеграции через TXT, CSV, Excel")</f>
        <v>интеграции через TXT, CSV, Excel</v>
      </c>
      <c r="B651" s="4" t="str">
        <f ca="1">IFERROR(__xludf.DUMMYFUNCTION("""COMPUTED_VALUE"""),"с МОТП, БАЗОВЫЙ")</f>
        <v>с МОТП, БАЗОВЫЙ</v>
      </c>
      <c r="C651" s="4" t="str">
        <f ca="1">IFERROR(__xludf.DUMMYFUNCTION("""COMPUTED_VALUE"""),"RTL15AT-TXT")</f>
        <v>RTL15AT-TXT</v>
      </c>
      <c r="D651" s="4" t="str">
        <f ca="1">IFERROR(__xludf.DUMMYFUNCTION("""COMPUTED_VALUE"""),"Mobile SMARTS: Магазин 15 с МОТП, БАЗОВЫЙ для интеграции через TXT, CSV, Excel /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ин"&amp;"вентаризация,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"&amp;"и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МОТП, БАЗОВЫЙ для интеграции через TXT, CSV, Excel /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1" s="4" t="str">
        <f ca="1">IFERROR(__xludf.DUMMYFUNCTION("""COMPUTED_VALUE"""),"Mobile SMARTS: Магазин 15 с МОТП, БАЗОВЫЙ для интеграции через TXT, CSV, Excel ")</f>
        <v xml:space="preserve">Mobile SMARTS: Магазин 15 с МОТП, БАЗОВЫЙ для интеграции через TXT, CSV, Excel </v>
      </c>
      <c r="F651" s="5">
        <f ca="1">IFERROR(__xludf.DUMMYFUNCTION("""COMPUTED_VALUE"""),11150)</f>
        <v>11150</v>
      </c>
    </row>
    <row r="652" spans="1:6" ht="86.25" customHeight="1" x14ac:dyDescent="0.2">
      <c r="A652" s="4" t="str">
        <f ca="1">IFERROR(__xludf.DUMMYFUNCTION("""COMPUTED_VALUE"""),"интеграции через TXT, CSV, Excel")</f>
        <v>интеграции через TXT, CSV, Excel</v>
      </c>
      <c r="B652" s="4" t="str">
        <f ca="1">IFERROR(__xludf.DUMMYFUNCTION("""COMPUTED_VALUE"""),"с МОТП, РАСШИРЕННЫЙ")</f>
        <v>с МОТП, РАСШИРЕННЫЙ</v>
      </c>
      <c r="C652" s="4" t="str">
        <f ca="1">IFERROR(__xludf.DUMMYFUNCTION("""COMPUTED_VALUE"""),"RTL15BT-TXT")</f>
        <v>RTL15BT-TXT</v>
      </c>
      <c r="D652" s="4" t="str">
        <f ca="1">IFERROR(__xludf.DUMMYFUNCTION("""COMPUTED_VALUE"""),"Mobile SMARTS: Магазин 15 с МОТП, РАСШИРЕННЫЙ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КМ)"&amp;",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остат"&amp;"ках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МОТП, РАСШИРЕННЫЙ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2" s="4" t="str">
        <f ca="1">IFERROR(__xludf.DUMMYFUNCTION("""COMPUTED_VALUE"""),"Mobile SMARTS: Магазин 15 с МОТП, РАСШИРЕННЫЙ для интеграции через TXT, CSV, Excel ")</f>
        <v xml:space="preserve">Mobile SMARTS: Магазин 15 с МОТП, РАСШИРЕННЫЙ для интеграции через TXT, CSV, Excel </v>
      </c>
      <c r="F652" s="5">
        <f ca="1">IFERROR(__xludf.DUMMYFUNCTION("""COMPUTED_VALUE"""),17450)</f>
        <v>17450</v>
      </c>
    </row>
    <row r="653" spans="1:6" ht="86.25" customHeight="1" x14ac:dyDescent="0.2">
      <c r="A653" s="4" t="str">
        <f ca="1">IFERROR(__xludf.DUMMYFUNCTION("""COMPUTED_VALUE"""),"интеграции через TXT, CSV, Excel")</f>
        <v>интеграции через TXT, CSV, Excel</v>
      </c>
      <c r="B653" s="4" t="str">
        <f ca="1">IFERROR(__xludf.DUMMYFUNCTION("""COMPUTED_VALUE"""),"с МОТП, МЕГАМАРКЕТ")</f>
        <v>с МОТП, МЕГАМАРКЕТ</v>
      </c>
      <c r="C653" s="4" t="str">
        <f ca="1">IFERROR(__xludf.DUMMYFUNCTION("""COMPUTED_VALUE"""),"RTL15CT-TXT")</f>
        <v>RTL15CT-TXT</v>
      </c>
      <c r="D653" s="4" t="str">
        <f ca="1">IFERROR(__xludf.DUMMYFUNCTION("""COMPUTED_VALUE"""),"Mobile SMARTS: Магазин 15 с МОТП, МЕГАМАРКЕТ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КМ),"&amp;"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МОТП, МЕГАМАРКЕТ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3" s="4" t="str">
        <f ca="1">IFERROR(__xludf.DUMMYFUNCTION("""COMPUTED_VALUE"""),"Mobile SMARTS: Магазин 15 с МОТП, МЕГАМАРКЕТ для интеграции через TXT, CSV, Excel ")</f>
        <v xml:space="preserve">Mobile SMARTS: Магазин 15 с МОТП, МЕГАМАРКЕТ для интеграции через TXT, CSV, Excel </v>
      </c>
      <c r="F653" s="5">
        <f ca="1">IFERROR(__xludf.DUMMYFUNCTION("""COMPUTED_VALUE"""),23850)</f>
        <v>23850</v>
      </c>
    </row>
    <row r="654" spans="1:6" ht="86.25" customHeight="1" x14ac:dyDescent="0.2">
      <c r="A654" s="4" t="str">
        <f ca="1">IFERROR(__xludf.DUMMYFUNCTION("""COMPUTED_VALUE"""),"интеграции через TXT, CSV, Excel")</f>
        <v>интеграции через TXT, CSV, Excel</v>
      </c>
      <c r="B654" s="4" t="str">
        <f ca="1">IFERROR(__xludf.DUMMYFUNCTION("""COMPUTED_VALUE"""),"с ЕГАИС и МОТП, БАЗОВЫЙ")</f>
        <v>с ЕГАИС и МОТП, БАЗОВЫЙ</v>
      </c>
      <c r="C654" s="4" t="str">
        <f ca="1">IFERROR(__xludf.DUMMYFUNCTION("""COMPUTED_VALUE"""),"RTL15AET-TXT")</f>
        <v>RTL15AET-TXT</v>
      </c>
      <c r="D654" s="4" t="str">
        <f ca="1">IFERROR(__xludf.DUMMYFUNCTION("""COMPUTED_VALUE"""),"Mobile SMARTS: Магазин 15 с ЕГАИС и МОТП, БАЗОВЫЙ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сб"&amp;"ор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штрихкодов"&amp;",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"&amp;"операции / бессрочная лицензия на 1 (одно) моб. устройство, подписка на обновления на 1 (один) год")</f>
        <v>Mobile SMARTS: Магазин 15 с ЕГАИС и МОТП, БАЗОВЫЙ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4" s="4" t="str">
        <f ca="1">IFERROR(__xludf.DUMMYFUNCTION("""COMPUTED_VALUE"""),"Mobile SMARTS: Магазин 15 с ЕГАИС и МОТП, БАЗОВЫЙ для интеграции через TXT, CSV, Excel ")</f>
        <v xml:space="preserve">Mobile SMARTS: Магазин 15 с ЕГАИС и МОТП, БАЗОВЫЙ для интеграции через TXT, CSV, Excel </v>
      </c>
      <c r="F654" s="5">
        <f ca="1">IFERROR(__xludf.DUMMYFUNCTION("""COMPUTED_VALUE"""),12150)</f>
        <v>12150</v>
      </c>
    </row>
    <row r="655" spans="1:6" ht="86.25" customHeight="1" x14ac:dyDescent="0.2">
      <c r="A655" s="4" t="str">
        <f ca="1">IFERROR(__xludf.DUMMYFUNCTION("""COMPUTED_VALUE"""),"интеграции через TXT, CSV, Excel")</f>
        <v>интеграции через TXT, CSV, Excel</v>
      </c>
      <c r="B655" s="4" t="str">
        <f ca="1">IFERROR(__xludf.DUMMYFUNCTION("""COMPUTED_VALUE"""),"с ЕГАИС и МОТП, РАСШИРЕННЫЙ")</f>
        <v>с ЕГАИС и МОТП, РАСШИРЕННЫЙ</v>
      </c>
      <c r="C655" s="4" t="str">
        <f ca="1">IFERROR(__xludf.DUMMYFUNCTION("""COMPUTED_VALUE"""),"RTL15BET-TXT")</f>
        <v>RTL15BET-TXT</v>
      </c>
      <c r="D655" s="4" t="str">
        <f ca="1">IFERROR(__xludf.DUMMYFUNCTION("""COMPUTED_VALUE"""),"Mobile SMARTS: Магазин 15 с ЕГАИС и МОТП, РАСШИРЕННЫЙ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операции"&amp;":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штрихк"&amp;"одов,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с"&amp;"вои операции / бессрочная лицензия на 1 (одно) моб. устройство, подписка на обновления на 1 (один) год")</f>
        <v>Mobile SMARTS: Магазин 15 с ЕГАИС и МОТП, РАСШИРЕННЫЙ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5" s="4" t="str">
        <f ca="1">IFERROR(__xludf.DUMMYFUNCTION("""COMPUTED_VALUE"""),"Mobile SMARTS: Магазин 15 с ЕГАИС и МОТП, РАСШИРЕННЫЙ для интеграции через TXT, CSV, Excel ")</f>
        <v xml:space="preserve">Mobile SMARTS: Магазин 15 с ЕГАИС и МОТП, РАСШИРЕННЫЙ для интеграции через TXT, CSV, Excel </v>
      </c>
      <c r="F655" s="5">
        <f ca="1">IFERROR(__xludf.DUMMYFUNCTION("""COMPUTED_VALUE"""),18550)</f>
        <v>18550</v>
      </c>
    </row>
    <row r="656" spans="1:6" ht="86.25" customHeight="1" x14ac:dyDescent="0.2">
      <c r="A656" s="4" t="str">
        <f ca="1">IFERROR(__xludf.DUMMYFUNCTION("""COMPUTED_VALUE"""),"интеграции через TXT, CSV, Excel")</f>
        <v>интеграции через TXT, CSV, Excel</v>
      </c>
      <c r="B656" s="4" t="str">
        <f ca="1">IFERROR(__xludf.DUMMYFUNCTION("""COMPUTED_VALUE"""),"с ЕГАИС и МОТП, МЕГАМАРКЕТ")</f>
        <v>с ЕГАИС и МОТП, МЕГАМАРКЕТ</v>
      </c>
      <c r="C656" s="4" t="str">
        <f ca="1">IFERROR(__xludf.DUMMYFUNCTION("""COMPUTED_VALUE"""),"RTL15CET-TXT")</f>
        <v>RTL15CET-TXT</v>
      </c>
      <c r="D656" s="4" t="str">
        <f ca="1">IFERROR(__xludf.DUMMYFUNCTION("""COMPUTED_VALUE"""),"Mobile SMARTS: Магазин 15 с ЕГАИС и МОТП, МЕГАМАРКЕТ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операции:"&amp;"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воз"&amp;"можность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МЕГАМАРКЕТ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6" s="4" t="str">
        <f ca="1">IFERROR(__xludf.DUMMYFUNCTION("""COMPUTED_VALUE"""),"Mobile SMARTS: Магазин 15 с ЕГАИС и МОТП, МЕГАМАРКЕТ для интеграции через TXT, CSV, Excel ")</f>
        <v xml:space="preserve">Mobile SMARTS: Магазин 15 с ЕГАИС и МОТП, МЕГАМАРКЕТ для интеграции через TXT, CSV, Excel </v>
      </c>
      <c r="F656" s="5">
        <f ca="1">IFERROR(__xludf.DUMMYFUNCTION("""COMPUTED_VALUE"""),26350)</f>
        <v>26350</v>
      </c>
    </row>
    <row r="657" spans="1:6" ht="86.25" customHeight="1" x14ac:dyDescent="0.2">
      <c r="A657" s="4" t="str">
        <f ca="1">IFERROR(__xludf.DUMMYFUNCTION("""COMPUTED_VALUE"""),"интеграции через TXT, CSV, Excel")</f>
        <v>интеграции через TXT, CSV, Excel</v>
      </c>
      <c r="B657" s="4" t="str">
        <f ca="1">IFERROR(__xludf.DUMMYFUNCTION("""COMPUTED_VALUE"""),"ШМОТКИ, БАЗОВЫЙ")</f>
        <v>ШМОТКИ, БАЗОВЫЙ</v>
      </c>
      <c r="C657" s="4" t="str">
        <f ca="1">IFERROR(__xludf.DUMMYFUNCTION("""COMPUTED_VALUE"""),"RTL15AK-TXT")</f>
        <v>RTL15AK-TXT</v>
      </c>
      <c r="D657" s="4" t="str">
        <f ca="1">IFERROR(__xludf.DUMMYFUNCTION("""COMPUTED_VALUE"""),"Mobile SMARTS: Магазин 15 с КИРОВКОЙ, БАЗОВЫЙ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посту"&amp;"пление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ск"&amp;"ладах,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КИРОВКОЙ, БАЗОВЫЙ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7" s="4" t="str">
        <f ca="1">IFERROR(__xludf.DUMMYFUNCTION("""COMPUTED_VALUE"""),"Mobile SMARTS: Магазин 15 с КИРОВКОЙ, БАЗОВЫЙ для интеграции через TXT, CSV, Excel ")</f>
        <v xml:space="preserve">Mobile SMARTS: Магазин 15 с КИРОВКОЙ, БАЗОВЫЙ для интеграции через TXT, CSV, Excel </v>
      </c>
      <c r="F657" s="5">
        <f ca="1">IFERROR(__xludf.DUMMYFUNCTION("""COMPUTED_VALUE"""),12150)</f>
        <v>12150</v>
      </c>
    </row>
    <row r="658" spans="1:6" ht="86.25" customHeight="1" x14ac:dyDescent="0.2">
      <c r="A658" s="4" t="str">
        <f ca="1">IFERROR(__xludf.DUMMYFUNCTION("""COMPUTED_VALUE"""),"интеграции через TXT, CSV, Excel")</f>
        <v>интеграции через TXT, CSV, Excel</v>
      </c>
      <c r="B658" s="4" t="str">
        <f ca="1">IFERROR(__xludf.DUMMYFUNCTION("""COMPUTED_VALUE"""),"ШМОТКИ, РАСШИРЕННЫЙ")</f>
        <v>ШМОТКИ, РАСШИРЕННЫЙ</v>
      </c>
      <c r="C658" s="4" t="str">
        <f ca="1">IFERROR(__xludf.DUMMYFUNCTION("""COMPUTED_VALUE"""),"RTL15BK-TXT")</f>
        <v>RTL15BK-TXT</v>
      </c>
      <c r="D658" s="4" t="str">
        <f ca="1">IFERROR(__xludf.DUMMYFUNCTION("""COMPUTED_VALUE"""),"Mobile SMARTS: Магазин 15 с КИРОВКОЙ, РАСШИРЕННЫЙ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п"&amp;"оступление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товаре"&amp;",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КИРОВКОЙ, РАСШИРЕННЫЙ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8" s="4" t="str">
        <f ca="1">IFERROR(__xludf.DUMMYFUNCTION("""COMPUTED_VALUE"""),"Mobile SMARTS: Магазин 15 с КИРОВКОЙ, РАСШИРЕННЫЙ для интеграции через TXT, CSV, Excel ")</f>
        <v xml:space="preserve">Mobile SMARTS: Магазин 15 с КИРОВКОЙ, РАСШИРЕННЫЙ для интеграции через TXT, CSV, Excel </v>
      </c>
      <c r="F658" s="5">
        <f ca="1">IFERROR(__xludf.DUMMYFUNCTION("""COMPUTED_VALUE"""),18550)</f>
        <v>18550</v>
      </c>
    </row>
    <row r="659" spans="1:6" ht="86.25" customHeight="1" x14ac:dyDescent="0.2">
      <c r="A659" s="4" t="str">
        <f ca="1">IFERROR(__xludf.DUMMYFUNCTION("""COMPUTED_VALUE"""),"интеграции через TXT, CSV, Excel")</f>
        <v>интеграции через TXT, CSV, Excel</v>
      </c>
      <c r="B659" s="4" t="str">
        <f ca="1">IFERROR(__xludf.DUMMYFUNCTION("""COMPUTED_VALUE"""),"ШМОТКИ, МЕГАМАРКЕТ")</f>
        <v>ШМОТКИ, МЕГАМАРКЕТ</v>
      </c>
      <c r="C659" s="4" t="str">
        <f ca="1">IFERROR(__xludf.DUMMYFUNCTION("""COMPUTED_VALUE"""),"RTL15CK-TXT")</f>
        <v>RTL15CK-TXT</v>
      </c>
      <c r="D659" s="4" t="str">
        <f ca="1">IFERROR(__xludf.DUMMYFUNCTION("""COMPUTED_VALUE"""),"Mobile SMARTS: Магазин 15 с КИРОВКОЙ, МЕГАМАРКЕТ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по"&amp;"ступление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КИРОВКОЙ, МЕГАМАРКЕТ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9" s="4" t="str">
        <f ca="1">IFERROR(__xludf.DUMMYFUNCTION("""COMPUTED_VALUE"""),"Mobile SMARTS: Магазин 15 с КИРОВКОЙ, МЕГАМАРКЕТ для интеграции через TXT, CSV, Excel ")</f>
        <v xml:space="preserve">Mobile SMARTS: Магазин 15 с КИРОВКОЙ, МЕГАМАРКЕТ для интеграции через TXT, CSV, Excel </v>
      </c>
      <c r="F659" s="5">
        <f ca="1">IFERROR(__xludf.DUMMYFUNCTION("""COMPUTED_VALUE"""),26350)</f>
        <v>26350</v>
      </c>
    </row>
    <row r="660" spans="1:6" ht="86.25" customHeight="1" x14ac:dyDescent="0.2">
      <c r="A660" s="4" t="str">
        <f ca="1">IFERROR(__xludf.DUMMYFUNCTION("""COMPUTED_VALUE"""),"интеграции через TXT, CSV, Excel")</f>
        <v>интеграции через TXT, CSV, Excel</v>
      </c>
      <c r="B660" s="4" t="str">
        <f ca="1">IFERROR(__xludf.DUMMYFUNCTION("""COMPUTED_VALUE"""),"с МДЛП, БАЗОВЫЙ")</f>
        <v>с МДЛП, БАЗОВЫЙ</v>
      </c>
      <c r="C660" s="4" t="str">
        <f ca="1">IFERROR(__xludf.DUMMYFUNCTION("""COMPUTED_VALUE"""),"RTL15AL-TXT")</f>
        <v>RTL15AL-TXT</v>
      </c>
      <c r="D660" s="4" t="str">
        <f ca="1">IFERROR(__xludf.DUMMYFUNCTION("""COMPUTED_VALUE"""),"Mobile SMARTS: Магазин 15 с МДЛП, БАЗОВЫЙ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т.ч"&amp;".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контра"&amp;"гентах,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МДЛП, БАЗОВЫЙ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0" s="4" t="str">
        <f ca="1">IFERROR(__xludf.DUMMYFUNCTION("""COMPUTED_VALUE"""),"Mobile SMARTS: Магазин 15 с МДЛП, БАЗОВЫЙ для интеграции через TXT, CSV, Excel ")</f>
        <v xml:space="preserve">Mobile SMARTS: Магазин 15 с МДЛП, БАЗОВЫЙ для интеграции через TXT, CSV, Excel </v>
      </c>
      <c r="F660" s="5">
        <f ca="1">IFERROR(__xludf.DUMMYFUNCTION("""COMPUTED_VALUE"""),8458)</f>
        <v>8458</v>
      </c>
    </row>
    <row r="661" spans="1:6" ht="86.25" customHeight="1" x14ac:dyDescent="0.2">
      <c r="A661" s="4" t="str">
        <f ca="1">IFERROR(__xludf.DUMMYFUNCTION("""COMPUTED_VALUE"""),"интеграции через TXT, CSV, Excel")</f>
        <v>интеграции через TXT, CSV, Excel</v>
      </c>
      <c r="B661" s="4" t="str">
        <f ca="1">IFERROR(__xludf.DUMMYFUNCTION("""COMPUTED_VALUE"""),"с МДЛП, РАСШИРЕННЫЙ")</f>
        <v>с МДЛП, РАСШИРЕННЫЙ</v>
      </c>
      <c r="C661" s="4" t="str">
        <f ca="1">IFERROR(__xludf.DUMMYFUNCTION("""COMPUTED_VALUE"""),"RTL15BL-TXT")</f>
        <v>RTL15BL-TXT</v>
      </c>
      <c r="D661" s="4" t="str">
        <f ca="1">IFERROR(__xludf.DUMMYFUNCTION("""COMPUTED_VALUE"""),"Mobile SMARTS: Магазин 15 с МДЛП, РАСШИРЕННЫЙ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(в"&amp;"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МДЛП, РАСШИРЕННЫЙ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1" s="4" t="str">
        <f ca="1">IFERROR(__xludf.DUMMYFUNCTION("""COMPUTED_VALUE"""),"Mobile SMARTS: Магазин 15 с МДЛП, РАСШИРЕННЫЙ для интеграции через TXT, CSV, Excel ")</f>
        <v xml:space="preserve">Mobile SMARTS: Магазин 15 с МДЛП, РАСШИРЕННЫЙ для интеграции через TXT, CSV, Excel </v>
      </c>
      <c r="F661" s="5">
        <f ca="1">IFERROR(__xludf.DUMMYFUNCTION("""COMPUTED_VALUE"""),13378)</f>
        <v>13378</v>
      </c>
    </row>
    <row r="662" spans="1:6" ht="86.25" customHeight="1" x14ac:dyDescent="0.2">
      <c r="A662" s="4" t="str">
        <f ca="1">IFERROR(__xludf.DUMMYFUNCTION("""COMPUTED_VALUE"""),"интеграции через TXT, CSV, Excel")</f>
        <v>интеграции через TXT, CSV, Excel</v>
      </c>
      <c r="B662" s="4" t="str">
        <f ca="1">IFERROR(__xludf.DUMMYFUNCTION("""COMPUTED_VALUE"""),"с МДЛП, МЕГАМАРКЕТ")</f>
        <v>с МДЛП, МЕГАМАРКЕТ</v>
      </c>
      <c r="C662" s="4" t="str">
        <f ca="1">IFERROR(__xludf.DUMMYFUNCTION("""COMPUTED_VALUE"""),"RTL15CL-TXT")</f>
        <v>RTL15CL-TXT</v>
      </c>
      <c r="D662" s="4" t="str">
        <f ca="1">IFERROR(__xludf.DUMMYFUNCTION("""COMPUTED_VALUE"""),"Mobile SMARTS: Магазин 15 с МДЛП, МЕГАМАРКЕТ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"&amp;"т.ч.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о"&amp;"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МДЛП, МЕГАМАРКЕТ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2" s="4" t="str">
        <f ca="1">IFERROR(__xludf.DUMMYFUNCTION("""COMPUTED_VALUE"""),"Mobile SMARTS: Магазин 15 с МДЛП, МЕГАМАРКЕТ для интеграции через TXT, CSV, Excel ")</f>
        <v xml:space="preserve">Mobile SMARTS: Магазин 15 с МДЛП, МЕГАМАРКЕТ для интеграции через TXT, CSV, Excel </v>
      </c>
      <c r="F662" s="5">
        <f ca="1">IFERROR(__xludf.DUMMYFUNCTION("""COMPUTED_VALUE"""),20698)</f>
        <v>20698</v>
      </c>
    </row>
    <row r="663" spans="1:6" ht="86.25" customHeight="1" x14ac:dyDescent="0.2">
      <c r="A663" s="4" t="str">
        <f ca="1">IFERROR(__xludf.DUMMYFUNCTION("""COMPUTED_VALUE"""),"интеграции через TXT, CSV, Excel")</f>
        <v>интеграции через TXT, CSV, Excel</v>
      </c>
      <c r="B663" s="4" t="str">
        <f ca="1">IFERROR(__xludf.DUMMYFUNCTION("""COMPUTED_VALUE"""),"ПРОДУКТОВЫЙ, БАЗОВЫЙ")</f>
        <v>ПРОДУКТОВЫЙ, БАЗОВЫЙ</v>
      </c>
      <c r="C663" s="4" t="str">
        <f ca="1">IFERROR(__xludf.DUMMYFUNCTION("""COMPUTED_VALUE"""),"RTL15AG-TXT")</f>
        <v>RTL15AG-TXT</v>
      </c>
      <c r="D663" s="4" t="str">
        <f ca="1">IFERROR(__xludf.DUMMYFUNCTION("""COMPUTED_VALUE"""),"Mobile SMARTS: Магазин 15 ПРОДУКТОВЫЙ, БАЗОВЫЙ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ШИ"&amp;"НЫ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"&amp;"на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63" s="4" t="str">
        <f ca="1">IFERROR(__xludf.DUMMYFUNCTION("""COMPUTED_VALUE"""),"Mobile SMARTS: Магазин 15 ПРОДУКТОВЫЙ, БАЗОВЫЙ для интеграции через TXT, CSV, Excel ")</f>
        <v xml:space="preserve">Mobile SMARTS: Магазин 15 ПРОДУКТОВЫЙ, БАЗОВЫЙ для интеграции через TXT, CSV, Excel </v>
      </c>
      <c r="F663" s="5">
        <f ca="1">IFERROR(__xludf.DUMMYFUNCTION("""COMPUTED_VALUE"""),11158)</f>
        <v>11158</v>
      </c>
    </row>
    <row r="664" spans="1:6" ht="86.25" customHeight="1" x14ac:dyDescent="0.2">
      <c r="A664" s="4" t="str">
        <f ca="1">IFERROR(__xludf.DUMMYFUNCTION("""COMPUTED_VALUE"""),"интеграции через TXT, CSV, Excel")</f>
        <v>интеграции через TXT, CSV, Excel</v>
      </c>
      <c r="B664" s="4" t="str">
        <f ca="1">IFERROR(__xludf.DUMMYFUNCTION("""COMPUTED_VALUE"""),"ПРОДУКТОВЫЙ, РАСШИРЕННЫЙ")</f>
        <v>ПРОДУКТОВЫЙ, РАСШИРЕННЫЙ</v>
      </c>
      <c r="C664" s="4" t="str">
        <f ca="1">IFERROR(__xludf.DUMMYFUNCTION("""COMPUTED_VALUE"""),"RTL15BG-TXT")</f>
        <v>RTL15BG-TXT</v>
      </c>
      <c r="D664" s="4" t="str">
        <f ca="1">IFERROR(__xludf.DUMMYFUNCTION("""COMPUTED_VALUE"""),"Mobile SMARTS: Магазин 15 ПРОДУКТОВЫЙ, РАСШИРЕННЫЙ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ПАРФЮМ"&amp;",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печа"&amp;"тью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"&amp;"складах,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64" s="4" t="str">
        <f ca="1">IFERROR(__xludf.DUMMYFUNCTION("""COMPUTED_VALUE"""),"Mobile SMARTS: Магазин 15 ПРОДУКТОВЫЙ, РАСШИРЕННЫЙ для интеграции через TXT, CSV, Excel ")</f>
        <v xml:space="preserve">Mobile SMARTS: Магазин 15 ПРОДУКТОВЫЙ, РАСШИРЕННЫЙ для интеграции через TXT, CSV, Excel </v>
      </c>
      <c r="F664" s="5">
        <f ca="1">IFERROR(__xludf.DUMMYFUNCTION("""COMPUTED_VALUE"""),16078)</f>
        <v>16078</v>
      </c>
    </row>
    <row r="665" spans="1:6" ht="86.25" customHeight="1" x14ac:dyDescent="0.2">
      <c r="A665" s="4" t="str">
        <f ca="1">IFERROR(__xludf.DUMMYFUNCTION("""COMPUTED_VALUE"""),"интеграции через TXT, CSV, Excel")</f>
        <v>интеграции через TXT, CSV, Excel</v>
      </c>
      <c r="B665" s="4" t="str">
        <f ca="1">IFERROR(__xludf.DUMMYFUNCTION("""COMPUTED_VALUE"""),"ПРОДУКТОВЫЙ, МЕГАМАРКЕТ")</f>
        <v>ПРОДУКТОВЫЙ, МЕГАМАРКЕТ</v>
      </c>
      <c r="C665" s="4" t="str">
        <f ca="1">IFERROR(__xludf.DUMMYFUNCTION("""COMPUTED_VALUE"""),"RTL15CG-TXT")</f>
        <v>RTL15CG-TXT</v>
      </c>
      <c r="D665" s="4" t="str">
        <f ca="1">IFERROR(__xludf.DUMMYFUNCTION("""COMPUTED_VALUE"""),"Mobile SMARTS: Магазин 15 ПРОДУКТОВЫЙ, МЕГАМАРКЕТ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ПАРФЮМ,"&amp;"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печат"&amp;"ью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и"&amp;"нформация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65" s="4" t="str">
        <f ca="1">IFERROR(__xludf.DUMMYFUNCTION("""COMPUTED_VALUE"""),"Mobile SMARTS: Магазин 15 ПРОДУКТОВЫЙ, МЕГАМАРКЕТ для интеграции через TXT, CSV, Excel ")</f>
        <v xml:space="preserve">Mobile SMARTS: Магазин 15 ПРОДУКТОВЫЙ, МЕГАМАРКЕТ для интеграции через TXT, CSV, Excel </v>
      </c>
      <c r="F665" s="5">
        <f ca="1">IFERROR(__xludf.DUMMYFUNCTION("""COMPUTED_VALUE"""),28169)</f>
        <v>28169</v>
      </c>
    </row>
    <row r="666" spans="1:6" ht="86.25" customHeight="1" x14ac:dyDescent="0.2">
      <c r="A666" s="4" t="str">
        <f ca="1">IFERROR(__xludf.DUMMYFUNCTION("""COMPUTED_VALUE"""),"интеграции через REST API")</f>
        <v>интеграции через REST API</v>
      </c>
      <c r="B666" s="4" t="str">
        <f ca="1">IFERROR(__xludf.DUMMYFUNCTION("""COMPUTED_VALUE"""),"МИНИМУМ")</f>
        <v>МИНИМУМ</v>
      </c>
      <c r="C666" s="4" t="str">
        <f ca="1">IFERROR(__xludf.DUMMYFUNCTION("""COMPUTED_VALUE"""),"RTL15M-REST")</f>
        <v>RTL15M-REST</v>
      </c>
      <c r="D666" s="4" t="str">
        <f ca="1">IFERROR(__xludf.DUMMYFUNCTION("""COMPUTED_VALUE"""),"Mobile SMARTS: Магазин 15, МИНИМУМ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сб"&amp;"ор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1"&amp;" (один) год")</f>
        <v>Mobile SMARTS: Магазин 15, МИНИМУМ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666" s="4" t="str">
        <f ca="1">IFERROR(__xludf.DUMMYFUNCTION("""COMPUTED_VALUE"""),"Mobile SMARTS: Магазин 15, МИНИМУМ для интеграции через REST API ")</f>
        <v xml:space="preserve">Mobile SMARTS: Магазин 15, МИНИМУМ для интеграции через REST API </v>
      </c>
      <c r="F666" s="5">
        <f ca="1">IFERROR(__xludf.DUMMYFUNCTION("""COMPUTED_VALUE"""),5450)</f>
        <v>5450</v>
      </c>
    </row>
    <row r="667" spans="1:6" ht="86.25" customHeight="1" x14ac:dyDescent="0.2">
      <c r="A667" s="4" t="str">
        <f ca="1">IFERROR(__xludf.DUMMYFUNCTION("""COMPUTED_VALUE"""),"интеграции через REST API")</f>
        <v>интеграции через REST API</v>
      </c>
      <c r="B667" s="4" t="str">
        <f ca="1">IFERROR(__xludf.DUMMYFUNCTION("""COMPUTED_VALUE"""),"БАЗОВЫЙ")</f>
        <v>БАЗОВЫЙ</v>
      </c>
      <c r="C667" s="4" t="str">
        <f ca="1">IFERROR(__xludf.DUMMYFUNCTION("""COMPUTED_VALUE"""),"RTL15A-REST")</f>
        <v>RTL15A-REST</v>
      </c>
      <c r="D667" s="4" t="str">
        <f ca="1">IFERROR(__xludf.DUMMYFUNCTION("""COMPUTED_VALUE"""),"Mobile SMARTS: Магазин 15, БАЗОВЫЙ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по"&amp;"ступление,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"&amp;"экране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БАЗОВЫЙ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7" s="4" t="str">
        <f ca="1">IFERROR(__xludf.DUMMYFUNCTION("""COMPUTED_VALUE"""),"Mobile SMARTS: Магазин 15, БАЗОВЫЙ для интеграции через REST API ")</f>
        <v xml:space="preserve">Mobile SMARTS: Магазин 15, БАЗОВЫЙ для интеграции через REST API </v>
      </c>
      <c r="F667" s="5">
        <f ca="1">IFERROR(__xludf.DUMMYFUNCTION("""COMPUTED_VALUE"""),10650)</f>
        <v>10650</v>
      </c>
    </row>
    <row r="668" spans="1:6" ht="86.25" customHeight="1" x14ac:dyDescent="0.2">
      <c r="A668" s="4" t="str">
        <f ca="1">IFERROR(__xludf.DUMMYFUNCTION("""COMPUTED_VALUE"""),"интеграции через REST API")</f>
        <v>интеграции через REST API</v>
      </c>
      <c r="B668" s="4" t="str">
        <f ca="1">IFERROR(__xludf.DUMMYFUNCTION("""COMPUTED_VALUE"""),"РАСШИРЕННЫЙ")</f>
        <v>РАСШИРЕННЫЙ</v>
      </c>
      <c r="C668" s="4" t="str">
        <f ca="1">IFERROR(__xludf.DUMMYFUNCTION("""COMPUTED_VALUE"""),"RTL15B-REST")</f>
        <v>RTL15B-REST</v>
      </c>
      <c r="D668" s="4" t="str">
        <f ca="1">IFERROR(__xludf.DUMMYFUNCTION("""COMPUTED_VALUE"""),"Mobile SMARTS: Магазин 15, РАСШИРЕННЫЙ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операции"&amp;":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РАСШИРЕННЫЙ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8" s="4" t="str">
        <f ca="1">IFERROR(__xludf.DUMMYFUNCTION("""COMPUTED_VALUE"""),"Mobile SMARTS: Магазин 15, РАСШИРЕННЫЙ для интеграции через REST API ")</f>
        <v xml:space="preserve">Mobile SMARTS: Магазин 15, РАСШИРЕННЫЙ для интеграции через REST API </v>
      </c>
      <c r="F668" s="5">
        <f ca="1">IFERROR(__xludf.DUMMYFUNCTION("""COMPUTED_VALUE"""),17050)</f>
        <v>17050</v>
      </c>
    </row>
    <row r="669" spans="1:6" ht="86.25" customHeight="1" x14ac:dyDescent="0.2">
      <c r="A669" s="4" t="str">
        <f ca="1">IFERROR(__xludf.DUMMYFUNCTION("""COMPUTED_VALUE"""),"интеграции через REST API")</f>
        <v>интеграции через REST API</v>
      </c>
      <c r="B669" s="4" t="str">
        <f ca="1">IFERROR(__xludf.DUMMYFUNCTION("""COMPUTED_VALUE"""),"МЕГАМАРКЕТ")</f>
        <v>МЕГАМАРКЕТ</v>
      </c>
      <c r="C669" s="4" t="str">
        <f ca="1">IFERROR(__xludf.DUMMYFUNCTION("""COMPUTED_VALUE"""),"RTL15C-REST")</f>
        <v>RTL15C-REST</v>
      </c>
      <c r="D669" s="4" t="str">
        <f ca="1">IFERROR(__xludf.DUMMYFUNCTION("""COMPUTED_VALUE"""),"Mobile SMARTS: Магазин 15, МЕГАМАРКЕТ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операции:"&amp;"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контрагент"&amp;"ах,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МЕГАМАРКЕТ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9" s="4" t="str">
        <f ca="1">IFERROR(__xludf.DUMMYFUNCTION("""COMPUTED_VALUE"""),"Mobile SMARTS: Магазин 15, МЕГАМАРКЕТ для интеграции через REST API ")</f>
        <v xml:space="preserve">Mobile SMARTS: Магазин 15, МЕГАМАРКЕТ для интеграции через REST API </v>
      </c>
      <c r="F669" s="5">
        <f ca="1">IFERROR(__xludf.DUMMYFUNCTION("""COMPUTED_VALUE"""),23550)</f>
        <v>23550</v>
      </c>
    </row>
    <row r="670" spans="1:6" ht="86.25" customHeight="1" x14ac:dyDescent="0.2">
      <c r="A670" s="4" t="str">
        <f ca="1">IFERROR(__xludf.DUMMYFUNCTION("""COMPUTED_VALUE"""),"интеграции через REST API")</f>
        <v>интеграции через REST API</v>
      </c>
      <c r="B670" s="4" t="str">
        <f ca="1">IFERROR(__xludf.DUMMYFUNCTION("""COMPUTED_VALUE"""),"с ЕГАИС, БАЗОВЫЙ")</f>
        <v>с ЕГАИС, БАЗОВЫЙ</v>
      </c>
      <c r="C670" s="4" t="str">
        <f ca="1">IFERROR(__xludf.DUMMYFUNCTION("""COMPUTED_VALUE"""),"RTL15AE-REST")</f>
        <v>RTL15AE-REST</v>
      </c>
      <c r="D670" s="4" t="str">
        <f ca="1">IFERROR(__xludf.DUMMYFUNCTION("""COMPUTED_VALUE"""),"Mobile SMARTS: Магазин 15 с ЕГАИС, БАЗОВЫЙ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обме"&amp;"н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мобил"&amp;"ьный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год")</f>
        <v>Mobile SMARTS: Магазин 15 с ЕГАИС, БАЗОВЫЙ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70" s="4" t="str">
        <f ca="1">IFERROR(__xludf.DUMMYFUNCTION("""COMPUTED_VALUE"""),"Mobile SMARTS: Магазин 15 с ЕГАИС, БАЗОВЫЙ для интеграции через REST API ")</f>
        <v xml:space="preserve">Mobile SMARTS: Магазин 15 с ЕГАИС, БАЗОВЫЙ для интеграции через REST API </v>
      </c>
      <c r="F670" s="5">
        <f ca="1">IFERROR(__xludf.DUMMYFUNCTION("""COMPUTED_VALUE"""),13000)</f>
        <v>13000</v>
      </c>
    </row>
    <row r="671" spans="1:6" ht="86.25" customHeight="1" x14ac:dyDescent="0.2">
      <c r="A671" s="4" t="str">
        <f ca="1">IFERROR(__xludf.DUMMYFUNCTION("""COMPUTED_VALUE"""),"интеграции через REST API")</f>
        <v>интеграции через REST API</v>
      </c>
      <c r="B671" s="4" t="str">
        <f ca="1">IFERROR(__xludf.DUMMYFUNCTION("""COMPUTED_VALUE"""),"с ЕГАИС, РАСШИРЕННЫЙ")</f>
        <v>с ЕГАИС, РАСШИРЕННЫЙ</v>
      </c>
      <c r="C671" s="4" t="str">
        <f ca="1">IFERROR(__xludf.DUMMYFUNCTION("""COMPUTED_VALUE"""),"RTL15BE-REST")</f>
        <v>RTL15BE-REST</v>
      </c>
      <c r="D671" s="4" t="str">
        <f ca="1">IFERROR(__xludf.DUMMYFUNCTION("""COMPUTED_VALUE"""),"Mobile SMARTS: Магазин 15 с ЕГАИС, РАСШИРЕННЫЙ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"&amp;"обмен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м"&amp;"обильный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ЕГАИС, РАСШИРЕННЫЙ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1" s="4" t="str">
        <f ca="1">IFERROR(__xludf.DUMMYFUNCTION("""COMPUTED_VALUE"""),"Mobile SMARTS: Магазин 15 с ЕГАИС, РАСШИРЕННЫЙ для интеграции через REST API ")</f>
        <v xml:space="preserve">Mobile SMARTS: Магазин 15 с ЕГАИС, РАСШИРЕННЫЙ для интеграции через REST API </v>
      </c>
      <c r="F671" s="5">
        <f ca="1">IFERROR(__xludf.DUMMYFUNCTION("""COMPUTED_VALUE"""),19450)</f>
        <v>19450</v>
      </c>
    </row>
    <row r="672" spans="1:6" ht="86.25" customHeight="1" x14ac:dyDescent="0.2">
      <c r="A672" s="4" t="str">
        <f ca="1">IFERROR(__xludf.DUMMYFUNCTION("""COMPUTED_VALUE"""),"интеграции через REST API")</f>
        <v>интеграции через REST API</v>
      </c>
      <c r="B672" s="4" t="str">
        <f ca="1">IFERROR(__xludf.DUMMYFUNCTION("""COMPUTED_VALUE"""),"с ЕГАИС (без CheckMark2), МЕГАМАРКЕТ")</f>
        <v>с ЕГАИС (без CheckMark2), МЕГАМАРКЕТ</v>
      </c>
      <c r="C672" s="4" t="str">
        <f ca="1">IFERROR(__xludf.DUMMYFUNCTION("""COMPUTED_VALUE"""),"RTL15CEV-REST")</f>
        <v>RTL15CEV-REST</v>
      </c>
      <c r="D672" s="4" t="str">
        <f ca="1">IFERROR(__xludf.DUMMYFUNCTION("""COMPUTED_VALUE"""),"Mobile SMARTS: Магазин 15 с ЕГАИС (без CheckMark2), МЕГАМАРКЕТ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и"&amp;"ли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возможно"&amp;"сти: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подписк"&amp;"а на обновления на 1 (один) год")</f>
        <v>Mobile SMARTS: Магазин 15 с ЕГАИС (без CheckMark2), МЕГАМАРКЕТ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2" s="4" t="str">
        <f ca="1">IFERROR(__xludf.DUMMYFUNCTION("""COMPUTED_VALUE"""),"Mobile SMARTS: Магазин 15 с ЕГАИС (без CheckMark2), МЕГАМАРКЕТ для интеграции через REST API ")</f>
        <v xml:space="preserve">Mobile SMARTS: Магазин 15 с ЕГАИС (без CheckMark2), МЕГАМАРКЕТ для интеграции через REST API </v>
      </c>
      <c r="F672" s="5">
        <f ca="1">IFERROR(__xludf.DUMMYFUNCTION("""COMPUTED_VALUE"""),25850)</f>
        <v>25850</v>
      </c>
    </row>
    <row r="673" spans="1:6" ht="86.25" customHeight="1" x14ac:dyDescent="0.2">
      <c r="A673" s="4" t="str">
        <f ca="1">IFERROR(__xludf.DUMMYFUNCTION("""COMPUTED_VALUE"""),"интеграции через REST API")</f>
        <v>интеграции через REST API</v>
      </c>
      <c r="B673" s="4" t="str">
        <f ca="1">IFERROR(__xludf.DUMMYFUNCTION("""COMPUTED_VALUE"""),"с МОТП, БАЗОВЫЙ")</f>
        <v>с МОТП, БАЗОВЫЙ</v>
      </c>
      <c r="C673" s="4" t="str">
        <f ca="1">IFERROR(__xludf.DUMMYFUNCTION("""COMPUTED_VALUE"""),"RTL15AT-REST")</f>
        <v>RTL15AT-REST</v>
      </c>
      <c r="D673" s="4" t="str">
        <f ca="1">IFERROR(__xludf.DUMMYFUNCTION("""COMPUTED_VALUE"""),"Mobile SMARTS: Магазин 15 с МОТП, БАЗОВЫЙ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о"&amp;"нлайна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МОТП, БАЗОВЫЙ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3" s="4" t="str">
        <f ca="1">IFERROR(__xludf.DUMMYFUNCTION("""COMPUTED_VALUE"""),"Mobile SMARTS: Магазин 15 с МОТП, БАЗОВЫЙ для интеграции через REST API ")</f>
        <v xml:space="preserve">Mobile SMARTS: Магазин 15 с МОТП, БАЗОВЫЙ для интеграции через REST API </v>
      </c>
      <c r="F673" s="5">
        <f ca="1">IFERROR(__xludf.DUMMYFUNCTION("""COMPUTED_VALUE"""),13150)</f>
        <v>13150</v>
      </c>
    </row>
    <row r="674" spans="1:6" ht="86.25" customHeight="1" x14ac:dyDescent="0.2">
      <c r="A674" s="4" t="str">
        <f ca="1">IFERROR(__xludf.DUMMYFUNCTION("""COMPUTED_VALUE"""),"интеграции через REST API")</f>
        <v>интеграции через REST API</v>
      </c>
      <c r="B674" s="4" t="str">
        <f ca="1">IFERROR(__xludf.DUMMYFUNCTION("""COMPUTED_VALUE"""),"с МОТП, РАСШИРЕННЫЙ")</f>
        <v>с МОТП, РАСШИРЕННЫЙ</v>
      </c>
      <c r="C674" s="4" t="str">
        <f ca="1">IFERROR(__xludf.DUMMYFUNCTION("""COMPUTED_VALUE"""),"RTL15BT-REST")</f>
        <v>RTL15BT-REST</v>
      </c>
      <c r="D674" s="4" t="str">
        <f ca="1">IFERROR(__xludf.DUMMYFUNCTION("""COMPUTED_VALUE"""),"Mobile SMARTS: Магазин 15 с МОТП, РАСШИРЕННЫЙ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е"&amp;"сть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"&amp;"/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МОТП, РАСШИРЕННЫЙ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4" s="4" t="str">
        <f ca="1">IFERROR(__xludf.DUMMYFUNCTION("""COMPUTED_VALUE"""),"Mobile SMARTS: Магазин 15 с МОТП, РАСШИРЕННЫЙ для интеграции через REST API ")</f>
        <v xml:space="preserve">Mobile SMARTS: Магазин 15 с МОТП, РАСШИРЕННЫЙ для интеграции через REST API </v>
      </c>
      <c r="F674" s="5">
        <f ca="1">IFERROR(__xludf.DUMMYFUNCTION("""COMPUTED_VALUE"""),19450)</f>
        <v>19450</v>
      </c>
    </row>
    <row r="675" spans="1:6" ht="86.25" customHeight="1" x14ac:dyDescent="0.2">
      <c r="A675" s="4" t="str">
        <f ca="1">IFERROR(__xludf.DUMMYFUNCTION("""COMPUTED_VALUE"""),"интеграции через REST API")</f>
        <v>интеграции через REST API</v>
      </c>
      <c r="B675" s="4" t="str">
        <f ca="1">IFERROR(__xludf.DUMMYFUNCTION("""COMPUTED_VALUE"""),"с МОТП, МЕГАМАРКЕТ")</f>
        <v>с МОТП, МЕГАМАРКЕТ</v>
      </c>
      <c r="C675" s="4" t="str">
        <f ca="1">IFERROR(__xludf.DUMMYFUNCTION("""COMPUTED_VALUE"""),"RTL15CT-REST")</f>
        <v>RTL15CT-REST</v>
      </c>
      <c r="D675" s="4" t="str">
        <f ca="1">IFERROR(__xludf.DUMMYFUNCTION("""COMPUTED_VALUE"""),"Mobile SMARTS: Магазин 15 с МОТП, МЕГАМАРКЕТ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ес"&amp;"ть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/"&amp;"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"&amp;"1 (один) год")</f>
        <v>Mobile SMARTS: Магазин 15 с МОТП, МЕГАМАРКЕТ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5" s="4" t="str">
        <f ca="1">IFERROR(__xludf.DUMMYFUNCTION("""COMPUTED_VALUE"""),"Mobile SMARTS: Магазин 15 с МОТП, МЕГАМАРКЕТ для интеграции через REST API ")</f>
        <v xml:space="preserve">Mobile SMARTS: Магазин 15 с МОТП, МЕГАМАРКЕТ для интеграции через REST API </v>
      </c>
      <c r="F675" s="5">
        <f ca="1">IFERROR(__xludf.DUMMYFUNCTION("""COMPUTED_VALUE"""),25850)</f>
        <v>25850</v>
      </c>
    </row>
    <row r="676" spans="1:6" ht="86.25" customHeight="1" x14ac:dyDescent="0.2">
      <c r="A676" s="4" t="str">
        <f ca="1">IFERROR(__xludf.DUMMYFUNCTION("""COMPUTED_VALUE"""),"интеграции через REST API")</f>
        <v>интеграции через REST API</v>
      </c>
      <c r="B676" s="4" t="str">
        <f ca="1">IFERROR(__xludf.DUMMYFUNCTION("""COMPUTED_VALUE"""),"с ЕГАИС и МОТП, БАЗОВЫЙ")</f>
        <v>с ЕГАИС и МОТП, БАЗОВЫЙ</v>
      </c>
      <c r="C676" s="4" t="str">
        <f ca="1">IFERROR(__xludf.DUMMYFUNCTION("""COMPUTED_VALUE"""),"RTL15AET-REST")</f>
        <v>RTL15AET-REST</v>
      </c>
      <c r="D676" s="4" t="str">
        <f ca="1">IFERROR(__xludf.DUMMYFUNCTION("""COMPUTED_VALUE"""),"Mobile SMARTS: Магазин 15 с ЕГАИС и МОТП, БАЗОВЫЙ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проводн"&amp;"ой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под"&amp;"бор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БАЗОВЫЙ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6" s="4" t="str">
        <f ca="1">IFERROR(__xludf.DUMMYFUNCTION("""COMPUTED_VALUE"""),"Mobile SMARTS: Магазин 15 с ЕГАИС и МОТП, БАЗОВЫЙ для интеграции через REST API ")</f>
        <v xml:space="preserve">Mobile SMARTS: Магазин 15 с ЕГАИС и МОТП, БАЗОВЫЙ для интеграции через REST API </v>
      </c>
      <c r="F676" s="5">
        <f ca="1">IFERROR(__xludf.DUMMYFUNCTION("""COMPUTED_VALUE"""),14150)</f>
        <v>14150</v>
      </c>
    </row>
    <row r="677" spans="1:6" ht="86.25" customHeight="1" x14ac:dyDescent="0.2">
      <c r="A677" s="4" t="str">
        <f ca="1">IFERROR(__xludf.DUMMYFUNCTION("""COMPUTED_VALUE"""),"интеграции через REST API")</f>
        <v>интеграции через REST API</v>
      </c>
      <c r="B677" s="4" t="str">
        <f ca="1">IFERROR(__xludf.DUMMYFUNCTION("""COMPUTED_VALUE"""),"с ЕГАИС и МОТП, РАСШИРЕННЫЙ")</f>
        <v>с ЕГАИС и МОТП, РАСШИРЕННЫЙ</v>
      </c>
      <c r="C677" s="4" t="str">
        <f ca="1">IFERROR(__xludf.DUMMYFUNCTION("""COMPUTED_VALUE"""),"RTL15BET-REST")</f>
        <v>RTL15BET-REST</v>
      </c>
      <c r="D677" s="4" t="str">
        <f ca="1">IFERROR(__xludf.DUMMYFUNCTION("""COMPUTED_VALUE"""),"Mobile SMARTS: Магазин 15 с ЕГАИС и МОТП, РАСШИРЕННЫЙ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про"&amp;"водной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возврат,"&amp;"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РАСШИРЕННЫЙ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7" s="4" t="str">
        <f ca="1">IFERROR(__xludf.DUMMYFUNCTION("""COMPUTED_VALUE"""),"Mobile SMARTS: Магазин 15 с ЕГАИС и МОТП, РАСШИРЕННЫЙ для интеграции через REST API ")</f>
        <v xml:space="preserve">Mobile SMARTS: Магазин 15 с ЕГАИС и МОТП, РАСШИРЕННЫЙ для интеграции через REST API </v>
      </c>
      <c r="F677" s="5">
        <f ca="1">IFERROR(__xludf.DUMMYFUNCTION("""COMPUTED_VALUE"""),20550)</f>
        <v>20550</v>
      </c>
    </row>
    <row r="678" spans="1:6" ht="86.25" customHeight="1" x14ac:dyDescent="0.2">
      <c r="A678" s="4" t="str">
        <f ca="1">IFERROR(__xludf.DUMMYFUNCTION("""COMPUTED_VALUE"""),"интеграции через REST API")</f>
        <v>интеграции через REST API</v>
      </c>
      <c r="B678" s="4" t="str">
        <f ca="1">IFERROR(__xludf.DUMMYFUNCTION("""COMPUTED_VALUE"""),"с ЕГАИС и МОТП, МЕГАМАРКЕТ")</f>
        <v>с ЕГАИС и МОТП, МЕГАМАРКЕТ</v>
      </c>
      <c r="C678" s="4" t="str">
        <f ca="1">IFERROR(__xludf.DUMMYFUNCTION("""COMPUTED_VALUE"""),"RTL15CET-REST")</f>
        <v>RTL15CET-REST</v>
      </c>
      <c r="D678" s="4" t="str">
        <f ca="1">IFERROR(__xludf.DUMMYFUNCTION("""COMPUTED_VALUE"""),"Mobile SMARTS: Магазин 15 с ЕГАИС и МОТП, МЕГАМАРКЕТ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пров"&amp;"одной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"&amp;"подбор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МЕГАМАРКЕТ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8" s="4" t="str">
        <f ca="1">IFERROR(__xludf.DUMMYFUNCTION("""COMPUTED_VALUE"""),"Mobile SMARTS: Магазин 15 с ЕГАИС и МОТП, МЕГАМАРКЕТ для интеграции через REST API ")</f>
        <v xml:space="preserve">Mobile SMARTS: Магазин 15 с ЕГАИС и МОТП, МЕГАМАРКЕТ для интеграции через REST API </v>
      </c>
      <c r="F678" s="5">
        <f ca="1">IFERROR(__xludf.DUMMYFUNCTION("""COMPUTED_VALUE"""),28350)</f>
        <v>28350</v>
      </c>
    </row>
    <row r="679" spans="1:6" ht="86.25" customHeight="1" x14ac:dyDescent="0.2">
      <c r="A679" s="4" t="str">
        <f ca="1">IFERROR(__xludf.DUMMYFUNCTION("""COMPUTED_VALUE"""),"интеграции через REST API")</f>
        <v>интеграции через REST API</v>
      </c>
      <c r="B679" s="4" t="str">
        <f ca="1">IFERROR(__xludf.DUMMYFUNCTION("""COMPUTED_VALUE"""),"ШМОТКИ, БАЗОВЫЙ")</f>
        <v>ШМОТКИ, БАЗОВЫЙ</v>
      </c>
      <c r="C679" s="4" t="str">
        <f ca="1">IFERROR(__xludf.DUMMYFUNCTION("""COMPUTED_VALUE"""),"RTL15AK-REST")</f>
        <v>RTL15AK-REST</v>
      </c>
      <c r="D679" s="4" t="str">
        <f ca="1">IFERROR(__xludf.DUMMYFUNCTION("""COMPUTED_VALUE"""),"Mobile SMARTS: Магазин 15 с КИРОВКОЙ, БАЗОВЫЙ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"&amp;"или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просмот"&amp;"р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на 1 (один) год")</f>
        <v>Mobile SMARTS: Магазин 15 с КИРОВКОЙ, БАЗОВЫЙ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9" s="4" t="str">
        <f ca="1">IFERROR(__xludf.DUMMYFUNCTION("""COMPUTED_VALUE"""),"Mobile SMARTS: Магазин 15 с КИРОВКОЙ, БАЗОВЫЙ для интеграции через REST API ")</f>
        <v xml:space="preserve">Mobile SMARTS: Магазин 15 с КИРОВКОЙ, БАЗОВЫЙ для интеграции через REST API </v>
      </c>
      <c r="F679" s="5">
        <f ca="1">IFERROR(__xludf.DUMMYFUNCTION("""COMPUTED_VALUE"""),14150)</f>
        <v>14150</v>
      </c>
    </row>
    <row r="680" spans="1:6" ht="86.25" customHeight="1" x14ac:dyDescent="0.2">
      <c r="A680" s="4" t="str">
        <f ca="1">IFERROR(__xludf.DUMMYFUNCTION("""COMPUTED_VALUE"""),"интеграции через REST API")</f>
        <v>интеграции через REST API</v>
      </c>
      <c r="B680" s="4" t="str">
        <f ca="1">IFERROR(__xludf.DUMMYFUNCTION("""COMPUTED_VALUE"""),"ШМОТКИ, РАСШИРЕННЫЙ")</f>
        <v>ШМОТКИ, РАСШИРЕННЫЙ</v>
      </c>
      <c r="C680" s="4" t="str">
        <f ca="1">IFERROR(__xludf.DUMMYFUNCTION("""COMPUTED_VALUE"""),"RTL15BK-REST")</f>
        <v>RTL15BK-REST</v>
      </c>
      <c r="D680" s="4" t="str">
        <f ca="1">IFERROR(__xludf.DUMMYFUNCTION("""COMPUTED_VALUE"""),"Mobile SMARTS: Магазин 15 с КИРОВКОЙ, РАСШИРЕННЫЙ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провод"&amp;"ной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про"&amp;"смотр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на 1 (один) год")</f>
        <v>Mobile SMARTS: Магазин 15 с КИРОВКОЙ, РАСШИРЕННЫЙ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0" s="4" t="str">
        <f ca="1">IFERROR(__xludf.DUMMYFUNCTION("""COMPUTED_VALUE"""),"Mobile SMARTS: Магазин 15 с КИРОВКОЙ, РАСШИРЕННЫЙ для интеграции через REST API ")</f>
        <v xml:space="preserve">Mobile SMARTS: Магазин 15 с КИРОВКОЙ, РАСШИРЕННЫЙ для интеграции через REST API </v>
      </c>
      <c r="F680" s="5">
        <f ca="1">IFERROR(__xludf.DUMMYFUNCTION("""COMPUTED_VALUE"""),20550)</f>
        <v>20550</v>
      </c>
    </row>
    <row r="681" spans="1:6" ht="86.25" customHeight="1" x14ac:dyDescent="0.2">
      <c r="A681" s="4" t="str">
        <f ca="1">IFERROR(__xludf.DUMMYFUNCTION("""COMPUTED_VALUE"""),"интеграции через REST API")</f>
        <v>интеграции через REST API</v>
      </c>
      <c r="B681" s="4" t="str">
        <f ca="1">IFERROR(__xludf.DUMMYFUNCTION("""COMPUTED_VALUE"""),"ШМОТКИ, МЕГАМАРКЕТ")</f>
        <v>ШМОТКИ, МЕГАМАРКЕТ</v>
      </c>
      <c r="C681" s="4" t="str">
        <f ca="1">IFERROR(__xludf.DUMMYFUNCTION("""COMPUTED_VALUE"""),"RTL15CK-REST")</f>
        <v>RTL15CK-REST</v>
      </c>
      <c r="D681" s="4" t="str">
        <f ca="1">IFERROR(__xludf.DUMMYFUNCTION("""COMPUTED_VALUE"""),"Mobile SMARTS: Магазин 15 с КИРОВКОЙ, МЕГАМАРКЕТ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проводн"&amp;"ой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прос"&amp;"мотр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устройст"&amp;"во, подписка на обновления на 1 (один) год")</f>
        <v>Mobile SMARTS: Магазин 15 с КИРОВКОЙ, МЕГАМАРКЕТ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1" s="4" t="str">
        <f ca="1">IFERROR(__xludf.DUMMYFUNCTION("""COMPUTED_VALUE"""),"Mobile SMARTS: Магазин 15 с КИРОВКОЙ, МЕГАМАРКЕТ для интеграции через REST API ")</f>
        <v xml:space="preserve">Mobile SMARTS: Магазин 15 с КИРОВКОЙ, МЕГАМАРКЕТ для интеграции через REST API </v>
      </c>
      <c r="F681" s="5">
        <f ca="1">IFERROR(__xludf.DUMMYFUNCTION("""COMPUTED_VALUE"""),28350)</f>
        <v>28350</v>
      </c>
    </row>
    <row r="682" spans="1:6" ht="86.25" customHeight="1" x14ac:dyDescent="0.2">
      <c r="A682" s="4" t="str">
        <f ca="1">IFERROR(__xludf.DUMMYFUNCTION("""COMPUTED_VALUE"""),"интеграции через REST API")</f>
        <v>интеграции через REST API</v>
      </c>
      <c r="B682" s="4" t="str">
        <f ca="1">IFERROR(__xludf.DUMMYFUNCTION("""COMPUTED_VALUE"""),"с МДЛП, БАЗОВЫЙ")</f>
        <v>с МДЛП, БАЗОВЫЙ</v>
      </c>
      <c r="C682" s="4" t="str">
        <f ca="1">IFERROR(__xludf.DUMMYFUNCTION("""COMPUTED_VALUE"""),"RTL15AL-REST")</f>
        <v>RTL15AL-REST</v>
      </c>
      <c r="D682" s="4" t="str">
        <f ca="1">IFERROR(__xludf.DUMMYFUNCTION("""COMPUTED_VALUE"""),"Mobile SMARTS: Магазин 15 с МДЛП, БАЗОВЫЙ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беспровод"&amp;"ной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справочнико"&amp;"в,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(один"&amp;") год")</f>
        <v>Mobile SMARTS: Магазин 15 с МДЛП, БАЗОВЫЙ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2" s="4" t="str">
        <f ca="1">IFERROR(__xludf.DUMMYFUNCTION("""COMPUTED_VALUE"""),"Mobile SMARTS: Магазин 15 с МДЛП, БАЗОВЫЙ для интеграции через REST API ")</f>
        <v xml:space="preserve">Mobile SMARTS: Магазин 15 с МДЛП, БАЗОВЫЙ для интеграции через REST API </v>
      </c>
      <c r="F682" s="5">
        <f ca="1">IFERROR(__xludf.DUMMYFUNCTION("""COMPUTED_VALUE"""),10458)</f>
        <v>10458</v>
      </c>
    </row>
    <row r="683" spans="1:6" ht="86.25" customHeight="1" x14ac:dyDescent="0.2">
      <c r="A683" s="4" t="str">
        <f ca="1">IFERROR(__xludf.DUMMYFUNCTION("""COMPUTED_VALUE"""),"интеграции через REST API")</f>
        <v>интеграции через REST API</v>
      </c>
      <c r="B683" s="4" t="str">
        <f ca="1">IFERROR(__xludf.DUMMYFUNCTION("""COMPUTED_VALUE"""),"с МДЛП, РАСШИРЕННЫЙ")</f>
        <v>с МДЛП, РАСШИРЕННЫЙ</v>
      </c>
      <c r="C683" s="4" t="str">
        <f ca="1">IFERROR(__xludf.DUMMYFUNCTION("""COMPUTED_VALUE"""),"RTL15BL-REST")</f>
        <v>RTL15BL-REST</v>
      </c>
      <c r="D683" s="4" t="str">
        <f ca="1">IFERROR(__xludf.DUMMYFUNCTION("""COMPUTED_VALUE"""),"Mobile SMARTS: Магазин 15 с МДЛП, РАСШИРЕННЫЙ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беспр"&amp;"оводной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справоч"&amp;"ников,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("&amp;"один) год")</f>
        <v>Mobile SMARTS: Магазин 15 с МДЛП, РАСШИРЕННЫЙ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3" s="4" t="str">
        <f ca="1">IFERROR(__xludf.DUMMYFUNCTION("""COMPUTED_VALUE"""),"Mobile SMARTS: Магазин 15 с МДЛП, РАСШИРЕННЫЙ для интеграции через REST API ")</f>
        <v xml:space="preserve">Mobile SMARTS: Магазин 15 с МДЛП, РАСШИРЕННЫЙ для интеграции через REST API </v>
      </c>
      <c r="F683" s="5">
        <f ca="1">IFERROR(__xludf.DUMMYFUNCTION("""COMPUTED_VALUE"""),15378)</f>
        <v>15378</v>
      </c>
    </row>
    <row r="684" spans="1:6" ht="86.25" customHeight="1" x14ac:dyDescent="0.2">
      <c r="A684" s="4" t="str">
        <f ca="1">IFERROR(__xludf.DUMMYFUNCTION("""COMPUTED_VALUE"""),"интеграции через REST API")</f>
        <v>интеграции через REST API</v>
      </c>
      <c r="B684" s="4" t="str">
        <f ca="1">IFERROR(__xludf.DUMMYFUNCTION("""COMPUTED_VALUE"""),"с МДЛП, МЕГАМАРКЕТ")</f>
        <v>с МДЛП, МЕГАМАРКЕТ</v>
      </c>
      <c r="C684" s="4" t="str">
        <f ca="1">IFERROR(__xludf.DUMMYFUNCTION("""COMPUTED_VALUE"""),"RTL15CL-REST")</f>
        <v>RTL15CL-REST</v>
      </c>
      <c r="D684" s="4" t="str">
        <f ca="1">IFERROR(__xludf.DUMMYFUNCTION("""COMPUTED_VALUE"""),"Mobile SMARTS: Магазин 15 с МДЛП, МЕГАМАРКЕТ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беспро"&amp;"водной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справочн"&amp;"иков,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"&amp;"на обновления на 1 (один) год")</f>
        <v>Mobile SMARTS: Магазин 15 с МДЛП, МЕГАМАРКЕТ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4" s="4" t="str">
        <f ca="1">IFERROR(__xludf.DUMMYFUNCTION("""COMPUTED_VALUE"""),"Mobile SMARTS: Магазин 15 с МДЛП, МЕГАМАРКЕТ для интеграции через REST API ")</f>
        <v xml:space="preserve">Mobile SMARTS: Магазин 15 с МДЛП, МЕГАМАРКЕТ для интеграции через REST API </v>
      </c>
      <c r="F684" s="5">
        <f ca="1">IFERROR(__xludf.DUMMYFUNCTION("""COMPUTED_VALUE"""),22698)</f>
        <v>22698</v>
      </c>
    </row>
    <row r="685" spans="1:6" ht="86.25" customHeight="1" x14ac:dyDescent="0.2">
      <c r="A685" s="4" t="str">
        <f ca="1">IFERROR(__xludf.DUMMYFUNCTION("""COMPUTED_VALUE"""),"интеграции через REST API")</f>
        <v>интеграции через REST API</v>
      </c>
      <c r="B685" s="4" t="str">
        <f ca="1">IFERROR(__xludf.DUMMYFUNCTION("""COMPUTED_VALUE"""),"ПРОДУКТОВЫЙ, БАЗОВЫЙ")</f>
        <v>ПРОДУКТОВЫЙ, БАЗОВЫЙ</v>
      </c>
      <c r="C685" s="4" t="str">
        <f ca="1">IFERROR(__xludf.DUMMYFUNCTION("""COMPUTED_VALUE"""),"RTL15AG-REST")</f>
        <v>RTL15AG-REST</v>
      </c>
      <c r="D685" s="4" t="str">
        <f ca="1">IFERROR(__xludf.DUMMYFUNCTION("""COMPUTED_VALUE"""),"Mobile SMARTS: Магазин 15 ПРОДУКТОВЫЙ, БАЗОВЫЙ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то"&amp;"варом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моби"&amp;"льный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ко"&amp;"нтрагентах,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85" s="4" t="str">
        <f ca="1">IFERROR(__xludf.DUMMYFUNCTION("""COMPUTED_VALUE"""),"Mobile SMARTS: Магазин 15 ПРОДУКТОВЫЙ, БАЗОВЫЙ для интеграции через REST API ")</f>
        <v xml:space="preserve">Mobile SMARTS: Магазин 15 ПРОДУКТОВЫЙ, БАЗОВЫЙ для интеграции через REST API </v>
      </c>
      <c r="F685" s="5">
        <f ca="1">IFERROR(__xludf.DUMMYFUNCTION("""COMPUTED_VALUE"""),13158)</f>
        <v>13158</v>
      </c>
    </row>
    <row r="686" spans="1:6" ht="86.25" customHeight="1" x14ac:dyDescent="0.2">
      <c r="A686" s="4" t="str">
        <f ca="1">IFERROR(__xludf.DUMMYFUNCTION("""COMPUTED_VALUE"""),"интеграции через REST API")</f>
        <v>интеграции через REST API</v>
      </c>
      <c r="B686" s="4" t="str">
        <f ca="1">IFERROR(__xludf.DUMMYFUNCTION("""COMPUTED_VALUE"""),"ПРОДУКТОВЫЙ, РАСШИРЕННЫЙ")</f>
        <v>ПРОДУКТОВЫЙ, РАСШИРЕННЫЙ</v>
      </c>
      <c r="C686" s="4" t="str">
        <f ca="1">IFERROR(__xludf.DUMMYFUNCTION("""COMPUTED_VALUE"""),"RTL15BG-REST")</f>
        <v>RTL15BG-REST</v>
      </c>
      <c r="D686" s="4" t="str">
        <f ca="1">IFERROR(__xludf.DUMMYFUNCTION("""COMPUTED_VALUE"""),"Mobile SMARTS: Магазин 15 ПРОДУКТОВЫЙ, РАСШИРЕННЫЙ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"&amp;"и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"&amp;"мобильный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складах"&amp;",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86" s="4" t="str">
        <f ca="1">IFERROR(__xludf.DUMMYFUNCTION("""COMPUTED_VALUE"""),"Mobile SMARTS: Магазин 15 ПРОДУКТОВЫЙ, РАСШИРЕННЫЙ для интеграции через REST API ")</f>
        <v xml:space="preserve">Mobile SMARTS: Магазин 15 ПРОДУКТОВЫЙ, РАСШИРЕННЫЙ для интеграции через REST API </v>
      </c>
      <c r="F686" s="5">
        <f ca="1">IFERROR(__xludf.DUMMYFUNCTION("""COMPUTED_VALUE"""),18078)</f>
        <v>18078</v>
      </c>
    </row>
    <row r="687" spans="1:6" ht="86.25" customHeight="1" x14ac:dyDescent="0.2">
      <c r="A687" s="4" t="str">
        <f ca="1">IFERROR(__xludf.DUMMYFUNCTION("""COMPUTED_VALUE"""),"интеграции через REST API")</f>
        <v>интеграции через REST API</v>
      </c>
      <c r="B687" s="4" t="str">
        <f ca="1">IFERROR(__xludf.DUMMYFUNCTION("""COMPUTED_VALUE"""),"ПРОДУКТОВЫЙ, МЕГАМАРКЕТ")</f>
        <v>ПРОДУКТОВЫЙ, МЕГАМАРКЕТ</v>
      </c>
      <c r="C687" s="4" t="str">
        <f ca="1">IFERROR(__xludf.DUMMYFUNCTION("""COMPUTED_VALUE"""),"RTL15CG-REST")</f>
        <v>RTL15CG-REST</v>
      </c>
      <c r="D687" s="4" t="str">
        <f ca="1">IFERROR(__xludf.DUMMYFUNCTION("""COMPUTED_VALUE"""),"Mobile SMARTS: Магазин 15 ПРОДУКТОВЫЙ, МЕГАМАРКЕТ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и"&amp;"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м"&amp;"обильный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информац"&amp;"ия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87" s="4" t="str">
        <f ca="1">IFERROR(__xludf.DUMMYFUNCTION("""COMPUTED_VALUE"""),"Mobile SMARTS: Магазин 15 ПРОДУКТОВЫЙ, МЕГАМАРКЕТ для интеграции через REST API ")</f>
        <v xml:space="preserve">Mobile SMARTS: Магазин 15 ПРОДУКТОВЫЙ, МЕГАМАРКЕТ для интеграции через REST API </v>
      </c>
      <c r="F687" s="5">
        <f ca="1">IFERROR(__xludf.DUMMYFUNCTION("""COMPUTED_VALUE"""),30169)</f>
        <v>30169</v>
      </c>
    </row>
    <row r="688" spans="1:6" ht="86.25" customHeight="1" x14ac:dyDescent="0.2">
      <c r="A688" s="4" t="str">
        <f ca="1">IFERROR(__xludf.DUMMYFUNCTION("""COMPUTED_VALUE"""),"интеграции с программой Супермаг-2000 в формате «SuperKitMobile»")</f>
        <v>интеграции с программой Супермаг-2000 в формате «SuperKitMobile»</v>
      </c>
      <c r="B688" s="4" t="str">
        <f ca="1">IFERROR(__xludf.DUMMYFUNCTION("""COMPUTED_VALUE"""),"БАЗОВЫЙ")</f>
        <v>БАЗОВЫЙ</v>
      </c>
      <c r="C688" s="4" t="str">
        <f ca="1">IFERROR(__xludf.DUMMYFUNCTION("""COMPUTED_VALUE"""),"RTL15A-SUPERMAG")</f>
        <v>RTL15A-SUPERMAG</v>
      </c>
      <c r="D688" s="4" t="str">
        <f ca="1">IFERROR(__xludf.DUMMYFUNCTION("""COMPUTED_VALUE"""),"Mobile SMARTS: Магазин 15, БАЗОВЫЙ для интеграции с программой Супермаг-2000 в формате «SuperKitMobile» / на выбор проводной или беспроводной обмен / нет онлайна / доступные операции: переоценка, инвентаризация, поступление / возможности: изменение сущест"&amp;"вующих операций / нельзя добавлять свои операции / бессрочная лицензия на 1 (одно) моб. устройство, подписка на обновления на 1 (один) год")</f>
        <v>Mobile SMARTS: Магазин 15, БАЗОВЫЙ для интеграции с программой Супермаг-2000 в формате «SuperKitMobile» / на выбор проводной или беспроводной обмен / нет онлайна / доступные операции: переоценка, инвентаризация, поступление / возможности: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88" s="4" t="str">
        <f ca="1">IFERROR(__xludf.DUMMYFUNCTION("""COMPUTED_VALUE"""),"Mobile SMARTS: Магазин 15, БАЗОВЫЙ для интеграции с программой Супермаг-2000 в формате «SuperKitMobile» ")</f>
        <v xml:space="preserve">Mobile SMARTS: Магазин 15, БАЗОВЫЙ для интеграции с программой Супермаг-2000 в формате «SuperKitMobile» </v>
      </c>
      <c r="F688" s="5">
        <f ca="1">IFERROR(__xludf.DUMMYFUNCTION("""COMPUTED_VALUE"""),10650)</f>
        <v>10650</v>
      </c>
    </row>
    <row r="689" spans="1:6" ht="86.25" customHeight="1" x14ac:dyDescent="0.2">
      <c r="A689" s="4" t="str">
        <f ca="1">IFERROR(__xludf.DUMMYFUNCTION("""COMPUTED_VALUE"""),"интеграции с SAP R/3 через REST/OLE/TXT")</f>
        <v>интеграции с SAP R/3 через REST/OLE/TXT</v>
      </c>
      <c r="B689" s="4" t="str">
        <f ca="1">IFERROR(__xludf.DUMMYFUNCTION("""COMPUTED_VALUE"""),"МИНИМУМ")</f>
        <v>МИНИМУМ</v>
      </c>
      <c r="C689" s="4" t="str">
        <f ca="1">IFERROR(__xludf.DUMMYFUNCTION("""COMPUTED_VALUE"""),"RTL15M-SAPR3")</f>
        <v>RTL15M-SAPR3</v>
      </c>
      <c r="D689" s="4" t="str">
        <f ca="1">IFERROR(__xludf.DUMMYFUNCTION("""COMPUTED_VALUE"""),"Mobile SMARTS: Магазин 15, МИНИМУМ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доступны"&amp;"е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о"&amp;"бновления на 1 (один) год")</f>
        <v>Mobile SMARTS: Магазин 15, МИНИМУМ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689" s="4" t="str">
        <f ca="1">IFERROR(__xludf.DUMMYFUNCTION("""COMPUTED_VALUE"""),"Mobile SMARTS: Магазин 15, МИНИМУМ для интеграции с SAP R/3 через REST/OLE/TXT ")</f>
        <v xml:space="preserve">Mobile SMARTS: Магазин 15, МИНИМУМ для интеграции с SAP R/3 через REST/OLE/TXT </v>
      </c>
      <c r="F689" s="5">
        <f ca="1">IFERROR(__xludf.DUMMYFUNCTION("""COMPUTED_VALUE"""),5450)</f>
        <v>5450</v>
      </c>
    </row>
    <row r="690" spans="1:6" ht="86.25" customHeight="1" x14ac:dyDescent="0.2">
      <c r="A690" s="4" t="str">
        <f ca="1">IFERROR(__xludf.DUMMYFUNCTION("""COMPUTED_VALUE"""),"интеграции с SAP R/3 через REST/OLE/TXT")</f>
        <v>интеграции с SAP R/3 через REST/OLE/TXT</v>
      </c>
      <c r="B690" s="4" t="str">
        <f ca="1">IFERROR(__xludf.DUMMYFUNCTION("""COMPUTED_VALUE"""),"БАЗОВЫЙ")</f>
        <v>БАЗОВЫЙ</v>
      </c>
      <c r="C690" s="4" t="str">
        <f ca="1">IFERROR(__xludf.DUMMYFUNCTION("""COMPUTED_VALUE"""),"RTL15A-SAPR3")</f>
        <v>RTL15A-SAPR3</v>
      </c>
      <c r="D690" s="4" t="str">
        <f ca="1">IFERROR(__xludf.DUMMYFUNCTION("""COMPUTED_VALUE"""),"Mobile SMARTS: Магазин 15, БАЗОВЫЙ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доступны"&amp;"е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БАЗОВЫЙ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0" s="4" t="str">
        <f ca="1">IFERROR(__xludf.DUMMYFUNCTION("""COMPUTED_VALUE"""),"Mobile SMARTS: Магазин 15, БАЗОВЫЙ для интеграции с SAP R/3 через REST/OLE/TXT ")</f>
        <v xml:space="preserve">Mobile SMARTS: Магазин 15, БАЗОВЫЙ для интеграции с SAP R/3 через REST/OLE/TXT </v>
      </c>
      <c r="F690" s="5">
        <f ca="1">IFERROR(__xludf.DUMMYFUNCTION("""COMPUTED_VALUE"""),10650)</f>
        <v>10650</v>
      </c>
    </row>
    <row r="691" spans="1:6" ht="86.25" customHeight="1" x14ac:dyDescent="0.2">
      <c r="A691" s="4" t="str">
        <f ca="1">IFERROR(__xludf.DUMMYFUNCTION("""COMPUTED_VALUE"""),"интеграции с SAP R/3 через REST/OLE/TXT")</f>
        <v>интеграции с SAP R/3 через REST/OLE/TXT</v>
      </c>
      <c r="B691" s="4" t="str">
        <f ca="1">IFERROR(__xludf.DUMMYFUNCTION("""COMPUTED_VALUE"""),"РАСШИРЕННЫЙ")</f>
        <v>РАСШИРЕННЫЙ</v>
      </c>
      <c r="C691" s="4" t="str">
        <f ca="1">IFERROR(__xludf.DUMMYFUNCTION("""COMPUTED_VALUE"""),"RTL15B-SAPR3")</f>
        <v>RTL15B-SAPR3</v>
      </c>
      <c r="D691" s="4" t="str">
        <f ca="1">IFERROR(__xludf.DUMMYFUNCTION("""COMPUTED_VALUE"""),"Mobile SMARTS: Магазин 15, РАСШИРЕННЫЙ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дост"&amp;"упные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РАСШИРЕННЫЙ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1" s="4" t="str">
        <f ca="1">IFERROR(__xludf.DUMMYFUNCTION("""COMPUTED_VALUE"""),"Mobile SMARTS: Магазин 15, РАСШИРЕННЫЙ для интеграции с SAP R/3 через REST/OLE/TXT ")</f>
        <v xml:space="preserve">Mobile SMARTS: Магазин 15, РАСШИРЕННЫЙ для интеграции с SAP R/3 через REST/OLE/TXT </v>
      </c>
      <c r="F691" s="5">
        <f ca="1">IFERROR(__xludf.DUMMYFUNCTION("""COMPUTED_VALUE"""),17050)</f>
        <v>17050</v>
      </c>
    </row>
    <row r="692" spans="1:6" ht="86.25" customHeight="1" x14ac:dyDescent="0.2">
      <c r="A692" s="4" t="str">
        <f ca="1">IFERROR(__xludf.DUMMYFUNCTION("""COMPUTED_VALUE"""),"интеграции с SAP R/3 через REST/OLE/TXT")</f>
        <v>интеграции с SAP R/3 через REST/OLE/TXT</v>
      </c>
      <c r="B692" s="4" t="str">
        <f ca="1">IFERROR(__xludf.DUMMYFUNCTION("""COMPUTED_VALUE"""),"МЕГАМАРКЕТ")</f>
        <v>МЕГАМАРКЕТ</v>
      </c>
      <c r="C692" s="4" t="str">
        <f ca="1">IFERROR(__xludf.DUMMYFUNCTION("""COMPUTED_VALUE"""),"RTL15C-SAPR3")</f>
        <v>RTL15C-SAPR3</v>
      </c>
      <c r="D692" s="4" t="str">
        <f ca="1">IFERROR(__xludf.DUMMYFUNCTION("""COMPUTED_VALUE"""),"Mobile SMARTS: Магазин 15, МЕГАМАРКЕТ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досту"&amp;"пные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МЕГАМАРКЕТ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2" s="4" t="str">
        <f ca="1">IFERROR(__xludf.DUMMYFUNCTION("""COMPUTED_VALUE"""),"Mobile SMARTS: Магазин 15, МЕГАМАРКЕТ для интеграции с SAP R/3 через REST/OLE/TXT ")</f>
        <v xml:space="preserve">Mobile SMARTS: Магазин 15, МЕГАМАРКЕТ для интеграции с SAP R/3 через REST/OLE/TXT </v>
      </c>
      <c r="F692" s="5">
        <f ca="1">IFERROR(__xludf.DUMMYFUNCTION("""COMPUTED_VALUE"""),23550)</f>
        <v>23550</v>
      </c>
    </row>
    <row r="693" spans="1:6" ht="86.25" customHeight="1" x14ac:dyDescent="0.2">
      <c r="A693" s="4" t="str">
        <f ca="1">IFERROR(__xludf.DUMMYFUNCTION("""COMPUTED_VALUE"""),"интеграции с SAP R/3 через REST/OLE/TXT")</f>
        <v>интеграции с SAP R/3 через REST/OLE/TXT</v>
      </c>
      <c r="B693" s="4" t="str">
        <f ca="1">IFERROR(__xludf.DUMMYFUNCTION("""COMPUTED_VALUE"""),"с ЕГАИС, БАЗОВЫЙ")</f>
        <v>с ЕГАИС, БАЗОВЫЙ</v>
      </c>
      <c r="C693" s="4" t="str">
        <f ca="1">IFERROR(__xludf.DUMMYFUNCTION("""COMPUTED_VALUE"""),"RTL15AE-SAPR3")</f>
        <v>RTL15AE-SAPR3</v>
      </c>
      <c r="D693" s="4" t="str">
        <f ca="1">IFERROR(__xludf.DUMMYFUNCTION("""COMPUTED_VALUE"""),"Mobile SMARTS: Магазин 15 с ЕГАИС,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бес"&amp;"проводной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п"&amp;"ечать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год")</f>
        <v>Mobile SMARTS: Магазин 15 с ЕГАИС,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93" s="4" t="str">
        <f ca="1">IFERROR(__xludf.DUMMYFUNCTION("""COMPUTED_VALUE"""),"Mobile SMARTS: Магазин 15 с ЕГАИС, БАЗОВЫЙ для интеграции с SAP R/3 через REST/OLE/TXT ")</f>
        <v xml:space="preserve">Mobile SMARTS: Магазин 15 с ЕГАИС, БАЗОВЫЙ для интеграции с SAP R/3 через REST/OLE/TXT </v>
      </c>
      <c r="F693" s="5">
        <f ca="1">IFERROR(__xludf.DUMMYFUNCTION("""COMPUTED_VALUE"""),13000)</f>
        <v>13000</v>
      </c>
    </row>
    <row r="694" spans="1:6" ht="86.25" customHeight="1" x14ac:dyDescent="0.2">
      <c r="A694" s="4" t="str">
        <f ca="1">IFERROR(__xludf.DUMMYFUNCTION("""COMPUTED_VALUE"""),"интеграции с SAP R/3 через REST/OLE/TXT")</f>
        <v>интеграции с SAP R/3 через REST/OLE/TXT</v>
      </c>
      <c r="B694" s="4" t="str">
        <f ca="1">IFERROR(__xludf.DUMMYFUNCTION("""COMPUTED_VALUE"""),"с ЕГАИС, РАСШИРЕННЫЙ")</f>
        <v>с ЕГАИС, РАСШИРЕННЫЙ</v>
      </c>
      <c r="C694" s="4" t="str">
        <f ca="1">IFERROR(__xludf.DUMMYFUNCTION("""COMPUTED_VALUE"""),"RTL15BE-SAPR3")</f>
        <v>RTL15BE-SAPR3</v>
      </c>
      <c r="D694" s="4" t="str">
        <f ca="1">IFERROR(__xludf.DUMMYFUNCTION("""COMPUTED_VALUE"""),"Mobile SMARTS: Магазин 15 с ЕГАИС,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или"&amp;"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возможност"&amp;"и: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("&amp;"один) год")</f>
        <v>Mobile SMARTS: Магазин 15 с ЕГАИС,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4" s="4" t="str">
        <f ca="1">IFERROR(__xludf.DUMMYFUNCTION("""COMPUTED_VALUE"""),"Mobile SMARTS: Магазин 15 с ЕГАИС, РАСШИРЕННЫЙ для интеграции с SAP R/3 через REST/OLE/TXT ")</f>
        <v xml:space="preserve">Mobile SMARTS: Магазин 15 с ЕГАИС, РАСШИРЕННЫЙ для интеграции с SAP R/3 через REST/OLE/TXT </v>
      </c>
      <c r="F694" s="5">
        <f ca="1">IFERROR(__xludf.DUMMYFUNCTION("""COMPUTED_VALUE"""),19450)</f>
        <v>19450</v>
      </c>
    </row>
    <row r="695" spans="1:6" ht="86.25" customHeight="1" x14ac:dyDescent="0.2">
      <c r="A695" s="4" t="str">
        <f ca="1">IFERROR(__xludf.DUMMYFUNCTION("""COMPUTED_VALUE"""),"интеграции с SAP R/3 через REST/OLE/TXT")</f>
        <v>интеграции с SAP R/3 через REST/OLE/TXT</v>
      </c>
      <c r="B695" s="4" t="str">
        <f ca="1">IFERROR(__xludf.DUMMYFUNCTION("""COMPUTED_VALUE"""),"с ЕГАИС (без CheckMark2), МЕГАМАРКЕТ")</f>
        <v>с ЕГАИС (без CheckMark2), МЕГАМАРКЕТ</v>
      </c>
      <c r="C695" s="4" t="str">
        <f ca="1">IFERROR(__xludf.DUMMYFUNCTION("""COMPUTED_VALUE"""),"RTL15CEV-SAPR3")</f>
        <v>RTL15CEV-SAPR3</v>
      </c>
      <c r="D695" s="4" t="str">
        <f ca="1">IFERROR(__xludf.DUMMYFUNCTION("""COMPUTED_VALUE"""),"Mobile SMARTS: Магазин 15 с ЕГАИС (без CheckMark2),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выб"&amp;"ор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справочни"&amp;"ков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устро"&amp;"йство, подписка на обновления на 1 (один) год")</f>
        <v>Mobile SMARTS: Магазин 15 с ЕГАИС (без CheckMark2),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5" s="4" t="str">
        <f ca="1">IFERROR(__xludf.DUMMYFUNCTION("""COMPUTED_VALUE"""),"Mobile SMARTS: Магазин 15 с ЕГАИС (без CheckMark2), МЕГАМАРКЕТ для интеграции с SAP R/3 через REST/OLE/TXT ")</f>
        <v xml:space="preserve">Mobile SMARTS: Магазин 15 с ЕГАИС (без CheckMark2), МЕГАМАРКЕТ для интеграции с SAP R/3 через REST/OLE/TXT </v>
      </c>
      <c r="F695" s="5">
        <f ca="1">IFERROR(__xludf.DUMMYFUNCTION("""COMPUTED_VALUE"""),25850)</f>
        <v>25850</v>
      </c>
    </row>
    <row r="696" spans="1:6" ht="86.25" customHeight="1" x14ac:dyDescent="0.2">
      <c r="A696" s="4" t="str">
        <f ca="1">IFERROR(__xludf.DUMMYFUNCTION("""COMPUTED_VALUE"""),"интеграции с SAP R/3 через REST/OLE/TXT")</f>
        <v>интеграции с SAP R/3 через REST/OLE/TXT</v>
      </c>
      <c r="B696" s="4" t="str">
        <f ca="1">IFERROR(__xludf.DUMMYFUNCTION("""COMPUTED_VALUE"""),"с МОТП, БАЗОВЫЙ")</f>
        <v>с МОТП, БАЗОВЫЙ</v>
      </c>
      <c r="C696" s="4" t="str">
        <f ca="1">IFERROR(__xludf.DUMMYFUNCTION("""COMPUTED_VALUE"""),"RTL15AT-SAPR3")</f>
        <v>RTL15AT-SAPR3</v>
      </c>
      <c r="D696" s="4" t="str">
        <f ca="1">IFERROR(__xludf.DUMMYFUNCTION("""COMPUTED_VALUE"""),"Mobile SMARTS: Магазин 15 с МОТП, БАЗОВЫЙ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беспроводной"&amp;"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"&amp;"настройки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г"&amp;"од")</f>
        <v>Mobile SMARTS: Магазин 15 с МОТП, БАЗОВЫЙ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6" s="4" t="str">
        <f ca="1">IFERROR(__xludf.DUMMYFUNCTION("""COMPUTED_VALUE"""),"Mobile SMARTS: Магазин 15 с МОТП, БАЗОВЫЙ для интеграции с SAP R/3 через REST/OLE/TXT ")</f>
        <v xml:space="preserve">Mobile SMARTS: Магазин 15 с МОТП, БАЗОВЫЙ для интеграции с SAP R/3 через REST/OLE/TXT </v>
      </c>
      <c r="F696" s="5">
        <f ca="1">IFERROR(__xludf.DUMMYFUNCTION("""COMPUTED_VALUE"""),13150)</f>
        <v>13150</v>
      </c>
    </row>
    <row r="697" spans="1:6" ht="86.25" customHeight="1" x14ac:dyDescent="0.2">
      <c r="A697" s="4" t="str">
        <f ca="1">IFERROR(__xludf.DUMMYFUNCTION("""COMPUTED_VALUE"""),"интеграции с SAP R/3 через REST/OLE/TXT")</f>
        <v>интеграции с SAP R/3 через REST/OLE/TXT</v>
      </c>
      <c r="B697" s="4" t="str">
        <f ca="1">IFERROR(__xludf.DUMMYFUNCTION("""COMPUTED_VALUE"""),"с МОТП, РАСШИРЕННЫЙ")</f>
        <v>с МОТП, РАСШИРЕННЫЙ</v>
      </c>
      <c r="C697" s="4" t="str">
        <f ca="1">IFERROR(__xludf.DUMMYFUNCTION("""COMPUTED_VALUE"""),"RTL15BT-SAPR3")</f>
        <v>RTL15BT-SAPR3</v>
      </c>
      <c r="D697" s="4" t="str">
        <f ca="1">IFERROR(__xludf.DUMMYFUNCTION("""COMPUTED_VALUE"""),"Mobile SMARTS: Магазин 15 с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беспрово"&amp;"дной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справочник"&amp;"ов,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(оди"&amp;"н) год")</f>
        <v>Mobile SMARTS: Магазин 15 с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7" s="4" t="str">
        <f ca="1">IFERROR(__xludf.DUMMYFUNCTION("""COMPUTED_VALUE"""),"Mobile SMARTS: Магазин 15 с МОТП, РАСШИРЕННЫЙ для интеграции с SAP R/3 через REST/OLE/TXT ")</f>
        <v xml:space="preserve">Mobile SMARTS: Магазин 15 с МОТП, РАСШИРЕННЫЙ для интеграции с SAP R/3 через REST/OLE/TXT </v>
      </c>
      <c r="F697" s="5">
        <f ca="1">IFERROR(__xludf.DUMMYFUNCTION("""COMPUTED_VALUE"""),19450)</f>
        <v>19450</v>
      </c>
    </row>
    <row r="698" spans="1:6" ht="86.25" customHeight="1" x14ac:dyDescent="0.2">
      <c r="A698" s="4" t="str">
        <f ca="1">IFERROR(__xludf.DUMMYFUNCTION("""COMPUTED_VALUE"""),"интеграции с SAP R/3 через REST/OLE/TXT")</f>
        <v>интеграции с SAP R/3 через REST/OLE/TXT</v>
      </c>
      <c r="B698" s="4" t="str">
        <f ca="1">IFERROR(__xludf.DUMMYFUNCTION("""COMPUTED_VALUE"""),"с МОТП, МЕГАМАРКЕТ")</f>
        <v>с МОТП, МЕГАМАРКЕТ</v>
      </c>
      <c r="C698" s="4" t="str">
        <f ca="1">IFERROR(__xludf.DUMMYFUNCTION("""COMPUTED_VALUE"""),"RTL15CT-SAPR3")</f>
        <v>RTL15CT-SAPR3</v>
      </c>
      <c r="D698" s="4" t="str">
        <f ca="1">IFERROR(__xludf.DUMMYFUNCTION("""COMPUTED_VALUE"""),"Mobile SMARTS: Магазин 15 с МОТП, МЕГАМАРКЕТ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беспровод"&amp;"ной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справочнико"&amp;"в,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"&amp;"обновления на 1 (один) год")</f>
        <v>Mobile SMARTS: Магазин 15 с МОТП, МЕГАМАРКЕТ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8" s="4" t="str">
        <f ca="1">IFERROR(__xludf.DUMMYFUNCTION("""COMPUTED_VALUE"""),"Mobile SMARTS: Магазин 15 с МОТП, МЕГАМАРКЕТ для интеграции с SAP R/3 через REST/OLE/TXT ")</f>
        <v xml:space="preserve">Mobile SMARTS: Магазин 15 с МОТП, МЕГАМАРКЕТ для интеграции с SAP R/3 через REST/OLE/TXT </v>
      </c>
      <c r="F698" s="5">
        <f ca="1">IFERROR(__xludf.DUMMYFUNCTION("""COMPUTED_VALUE"""),25850)</f>
        <v>25850</v>
      </c>
    </row>
    <row r="699" spans="1:6" ht="86.25" customHeight="1" x14ac:dyDescent="0.2">
      <c r="A699" s="4" t="str">
        <f ca="1">IFERROR(__xludf.DUMMYFUNCTION("""COMPUTED_VALUE"""),"интеграции с SAP R/3 через REST/OLE/TXT")</f>
        <v>интеграции с SAP R/3 через REST/OLE/TXT</v>
      </c>
      <c r="B699" s="4" t="str">
        <f ca="1">IFERROR(__xludf.DUMMYFUNCTION("""COMPUTED_VALUE"""),"с ЕГАИС и МОТП, БАЗОВЫЙ")</f>
        <v>с ЕГАИС и МОТП, БАЗОВЫЙ</v>
      </c>
      <c r="C699" s="4" t="str">
        <f ca="1">IFERROR(__xludf.DUMMYFUNCTION("""COMPUTED_VALUE"""),"RTL15AET-SAPR3")</f>
        <v>RTL15AET-SAPR3</v>
      </c>
      <c r="D699" s="4" t="str">
        <f ca="1">IFERROR(__xludf.DUMMYFUNCTION("""COMPUTED_VALUE"""),"Mobile SMARTS: Магазин 15 с ЕГАИС и МОТП,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на"&amp;"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списание"&amp;",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9" s="4" t="str">
        <f ca="1">IFERROR(__xludf.DUMMYFUNCTION("""COMPUTED_VALUE"""),"Mobile SMARTS: Магазин 15 с ЕГАИС и МОТП, БАЗОВЫЙ для интеграции с SAP R/3 через REST/OLE/TXT ")</f>
        <v xml:space="preserve">Mobile SMARTS: Магазин 15 с ЕГАИС и МОТП, БАЗОВЫЙ для интеграции с SAP R/3 через REST/OLE/TXT </v>
      </c>
      <c r="F699" s="5">
        <f ca="1">IFERROR(__xludf.DUMMYFUNCTION("""COMPUTED_VALUE"""),14150)</f>
        <v>14150</v>
      </c>
    </row>
    <row r="700" spans="1:6" ht="86.25" customHeight="1" x14ac:dyDescent="0.2">
      <c r="A700" s="4" t="str">
        <f ca="1">IFERROR(__xludf.DUMMYFUNCTION("""COMPUTED_VALUE"""),"интеграции с SAP R/3 через REST/OLE/TXT")</f>
        <v>интеграции с SAP R/3 через REST/OLE/TXT</v>
      </c>
      <c r="B700" s="4" t="str">
        <f ca="1">IFERROR(__xludf.DUMMYFUNCTION("""COMPUTED_VALUE"""),"с ЕГАИС и МОТП, РАСШИРЕННЫЙ")</f>
        <v>с ЕГАИС и МОТП, РАСШИРЕННЫЙ</v>
      </c>
      <c r="C700" s="4" t="str">
        <f ca="1">IFERROR(__xludf.DUMMYFUNCTION("""COMPUTED_VALUE"""),"RTL15BET-SAPR3")</f>
        <v>RTL15BET-SAPR3</v>
      </c>
      <c r="D700" s="4" t="str">
        <f ca="1">IFERROR(__xludf.DUMMYFUNCTION("""COMPUTED_VALUE"""),"Mobile SMARTS: Магазин 15 с ЕГАИС и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"&amp;"/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спис"&amp;"ание,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0" s="4" t="str">
        <f ca="1">IFERROR(__xludf.DUMMYFUNCTION("""COMPUTED_VALUE"""),"Mobile SMARTS: Магазин 15 с ЕГАИС и МОТП, РАСШИРЕННЫЙ для интеграции с SAP R/3 через REST/OLE/TXT ")</f>
        <v xml:space="preserve">Mobile SMARTS: Магазин 15 с ЕГАИС и МОТП, РАСШИРЕННЫЙ для интеграции с SAP R/3 через REST/OLE/TXT </v>
      </c>
      <c r="F700" s="5">
        <f ca="1">IFERROR(__xludf.DUMMYFUNCTION("""COMPUTED_VALUE"""),20550)</f>
        <v>20550</v>
      </c>
    </row>
    <row r="701" spans="1:6" ht="86.25" customHeight="1" x14ac:dyDescent="0.2">
      <c r="A701" s="4" t="str">
        <f ca="1">IFERROR(__xludf.DUMMYFUNCTION("""COMPUTED_VALUE"""),"интеграции с SAP R/3 через REST/OLE/TXT")</f>
        <v>интеграции с SAP R/3 через REST/OLE/TXT</v>
      </c>
      <c r="B701" s="4" t="str">
        <f ca="1">IFERROR(__xludf.DUMMYFUNCTION("""COMPUTED_VALUE"""),"с ЕГАИС и МОТП, МЕГАМАРКЕТ")</f>
        <v>с ЕГАИС и МОТП, МЕГАМАРКЕТ</v>
      </c>
      <c r="C701" s="4" t="str">
        <f ca="1">IFERROR(__xludf.DUMMYFUNCTION("""COMPUTED_VALUE"""),"RTL15CET-SAPR3")</f>
        <v>RTL15CET-SAPR3</v>
      </c>
      <c r="D701" s="4" t="str">
        <f ca="1">IFERROR(__xludf.DUMMYFUNCTION("""COMPUTED_VALUE"""),"Mobile SMARTS: Магазин 15 с ЕГАИС и МОТП,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/"&amp;"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списа"&amp;"ние,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1" s="4" t="str">
        <f ca="1">IFERROR(__xludf.DUMMYFUNCTION("""COMPUTED_VALUE"""),"Mobile SMARTS: Магазин 15 с ЕГАИС и МОТП, МЕГАМАРКЕТ для интеграции с SAP R/3 через REST/OLE/TXT ")</f>
        <v xml:space="preserve">Mobile SMARTS: Магазин 15 с ЕГАИС и МОТП, МЕГАМАРКЕТ для интеграции с SAP R/3 через REST/OLE/TXT </v>
      </c>
      <c r="F701" s="5">
        <f ca="1">IFERROR(__xludf.DUMMYFUNCTION("""COMPUTED_VALUE"""),28350)</f>
        <v>28350</v>
      </c>
    </row>
    <row r="702" spans="1:6" ht="86.25" customHeight="1" x14ac:dyDescent="0.2">
      <c r="A702" s="4" t="str">
        <f ca="1">IFERROR(__xludf.DUMMYFUNCTION("""COMPUTED_VALUE"""),"интеграции с SAP R/3 через REST/OLE/TXT")</f>
        <v>интеграции с SAP R/3 через REST/OLE/TXT</v>
      </c>
      <c r="B702" s="4" t="str">
        <f ca="1">IFERROR(__xludf.DUMMYFUNCTION("""COMPUTED_VALUE"""),"ШМОТКИ, БАЗОВЫЙ")</f>
        <v>ШМОТКИ, БАЗОВЫЙ</v>
      </c>
      <c r="C702" s="4" t="str">
        <f ca="1">IFERROR(__xludf.DUMMYFUNCTION("""COMPUTED_VALUE"""),"RTL15AK-SAPR3")</f>
        <v>RTL15AK-SAPR3</v>
      </c>
      <c r="D702" s="4" t="str">
        <f ca="1">IFERROR(__xludf.DUMMYFUNCTION("""COMPUTED_VALUE"""),"Mobile SMARTS: Магазин 15 с КИРОВКОЙ, БАЗОВЫЙ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вы"&amp;"бор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штрих"&amp;"кодов,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подпис"&amp;"ка на обновления на 1 (один) год")</f>
        <v>Mobile SMARTS: Магазин 15 с КИРОВКОЙ, БАЗОВЫЙ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2" s="4" t="str">
        <f ca="1">IFERROR(__xludf.DUMMYFUNCTION("""COMPUTED_VALUE"""),"Mobile SMARTS: Магазин 15 с КИРОВКОЙ, БАЗОВЫЙ для интеграции с SAP R/3 через REST/OLE/TXT ")</f>
        <v xml:space="preserve">Mobile SMARTS: Магазин 15 с КИРОВКОЙ, БАЗОВЫЙ для интеграции с SAP R/3 через REST/OLE/TXT </v>
      </c>
      <c r="F702" s="5">
        <f ca="1">IFERROR(__xludf.DUMMYFUNCTION("""COMPUTED_VALUE"""),14150)</f>
        <v>14150</v>
      </c>
    </row>
    <row r="703" spans="1:6" ht="86.25" customHeight="1" x14ac:dyDescent="0.2">
      <c r="A703" s="4" t="str">
        <f ca="1">IFERROR(__xludf.DUMMYFUNCTION("""COMPUTED_VALUE"""),"интеграции с SAP R/3 через REST/OLE/TXT")</f>
        <v>интеграции с SAP R/3 через REST/OLE/TXT</v>
      </c>
      <c r="B703" s="4" t="str">
        <f ca="1">IFERROR(__xludf.DUMMYFUNCTION("""COMPUTED_VALUE"""),"ШМОТКИ, РАСШИРЕННЫЙ")</f>
        <v>ШМОТКИ, РАСШИРЕННЫЙ</v>
      </c>
      <c r="C703" s="4" t="str">
        <f ca="1">IFERROR(__xludf.DUMMYFUNCTION("""COMPUTED_VALUE"""),"RTL15BK-SAPR3")</f>
        <v>RTL15BK-SAPR3</v>
      </c>
      <c r="D703" s="4" t="str">
        <f ca="1">IFERROR(__xludf.DUMMYFUNCTION("""COMPUTED_VALUE"""),"Mobile SMARTS: Магазин 15 с КИРОВКОЙ, РАСШИРЕННЫЙ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н"&amp;"а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по"&amp;"дписка на обновления на 1 (один) год")</f>
        <v>Mobile SMARTS: Магазин 15 с КИРОВКОЙ, РАСШИРЕННЫЙ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3" s="4" t="str">
        <f ca="1">IFERROR(__xludf.DUMMYFUNCTION("""COMPUTED_VALUE"""),"Mobile SMARTS: Магазин 15 с КИРОВКОЙ, РАСШИРЕННЫЙ для интеграции с SAP R/3 через REST/OLE/TXT ")</f>
        <v xml:space="preserve">Mobile SMARTS: Магазин 15 с КИРОВКОЙ, РАСШИРЕННЫЙ для интеграции с SAP R/3 через REST/OLE/TXT </v>
      </c>
      <c r="F703" s="5">
        <f ca="1">IFERROR(__xludf.DUMMYFUNCTION("""COMPUTED_VALUE"""),20550)</f>
        <v>20550</v>
      </c>
    </row>
    <row r="704" spans="1:6" ht="86.25" customHeight="1" x14ac:dyDescent="0.2">
      <c r="A704" s="4" t="str">
        <f ca="1">IFERROR(__xludf.DUMMYFUNCTION("""COMPUTED_VALUE"""),"интеграции с SAP R/3 через REST/OLE/TXT")</f>
        <v>интеграции с SAP R/3 через REST/OLE/TXT</v>
      </c>
      <c r="B704" s="4" t="str">
        <f ca="1">IFERROR(__xludf.DUMMYFUNCTION("""COMPUTED_VALUE"""),"ШМОТКИ, МЕГАМАРКЕТ")</f>
        <v>ШМОТКИ, МЕГАМАРКЕТ</v>
      </c>
      <c r="C704" s="4" t="str">
        <f ca="1">IFERROR(__xludf.DUMMYFUNCTION("""COMPUTED_VALUE"""),"RTL15CK-SAPR3")</f>
        <v>RTL15CK-SAPR3</v>
      </c>
      <c r="D704" s="4" t="str">
        <f ca="1">IFERROR(__xludf.DUMMYFUNCTION("""COMPUTED_VALUE"""),"Mobile SMARTS: Магазин 15 с КИРОВКОЙ, МЕГАМАРКЕТ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на"&amp;"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(одно)"&amp;" моб. устройство, подписка на обновления на 1 (один) год")</f>
        <v>Mobile SMARTS: Магазин 15 с КИРОВКОЙ, МЕГАМАРКЕТ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4" s="4" t="str">
        <f ca="1">IFERROR(__xludf.DUMMYFUNCTION("""COMPUTED_VALUE"""),"Mobile SMARTS: Магазин 15 с КИРОВКОЙ, МЕГАМАРКЕТ для интеграции с SAP R/3 через REST/OLE/TXT ")</f>
        <v xml:space="preserve">Mobile SMARTS: Магазин 15 с КИРОВКОЙ, МЕГАМАРКЕТ для интеграции с SAP R/3 через REST/OLE/TXT </v>
      </c>
      <c r="F704" s="5">
        <f ca="1">IFERROR(__xludf.DUMMYFUNCTION("""COMPUTED_VALUE"""),28350)</f>
        <v>28350</v>
      </c>
    </row>
    <row r="705" spans="1:6" ht="86.25" customHeight="1" x14ac:dyDescent="0.2">
      <c r="A705" s="4" t="str">
        <f ca="1">IFERROR(__xludf.DUMMYFUNCTION("""COMPUTED_VALUE"""),"интеграции с SAP R/3 через REST/OLE/TXT")</f>
        <v>интеграции с SAP R/3 через REST/OLE/TXT</v>
      </c>
      <c r="B705" s="4" t="str">
        <f ca="1">IFERROR(__xludf.DUMMYFUNCTION("""COMPUTED_VALUE"""),"с МДЛП, БАЗОВЫЙ")</f>
        <v>с МДЛП, БАЗОВЫЙ</v>
      </c>
      <c r="C705" s="4" t="str">
        <f ca="1">IFERROR(__xludf.DUMMYFUNCTION("""COMPUTED_VALUE"""),"RTL15AL-SAPR3")</f>
        <v>RTL15AL-SAPR3</v>
      </c>
      <c r="D705" s="4" t="str">
        <f ca="1">IFERROR(__xludf.DUMMYFUNCTION("""COMPUTED_VALUE"""),"Mobile SMARTS: Магазин 15 с МДЛП,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проводной"&amp;"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просмо"&amp;"тр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обновле"&amp;"ния на 1 (один) год")</f>
        <v>Mobile SMARTS: Магазин 15 с МДЛП,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5" s="4" t="str">
        <f ca="1">IFERROR(__xludf.DUMMYFUNCTION("""COMPUTED_VALUE"""),"Mobile SMARTS: Магазин 15 с МДЛП, БАЗОВЫЙ для интеграции с SAP R/3 через REST/OLE/TXT ")</f>
        <v xml:space="preserve">Mobile SMARTS: Магазин 15 с МДЛП, БАЗОВЫЙ для интеграции с SAP R/3 через REST/OLE/TXT </v>
      </c>
      <c r="F705" s="5">
        <f ca="1">IFERROR(__xludf.DUMMYFUNCTION("""COMPUTED_VALUE"""),10458)</f>
        <v>10458</v>
      </c>
    </row>
    <row r="706" spans="1:6" ht="86.25" customHeight="1" x14ac:dyDescent="0.2">
      <c r="A706" s="4" t="str">
        <f ca="1">IFERROR(__xludf.DUMMYFUNCTION("""COMPUTED_VALUE"""),"интеграции с SAP R/3 через REST/OLE/TXT")</f>
        <v>интеграции с SAP R/3 через REST/OLE/TXT</v>
      </c>
      <c r="B706" s="4" t="str">
        <f ca="1">IFERROR(__xludf.DUMMYFUNCTION("""COMPUTED_VALUE"""),"с МДЛП, РАСШИРЕННЫЙ")</f>
        <v>с МДЛП, РАСШИРЕННЫЙ</v>
      </c>
      <c r="C706" s="4" t="str">
        <f ca="1">IFERROR(__xludf.DUMMYFUNCTION("""COMPUTED_VALUE"""),"RTL15BL-SAPR3")</f>
        <v>RTL15BL-SAPR3</v>
      </c>
      <c r="D706" s="4" t="str">
        <f ca="1">IFERROR(__xludf.DUMMYFUNCTION("""COMPUTED_VALUE"""),"Mobile SMARTS: Магазин 15 с МДЛП,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прово"&amp;"дной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пр"&amp;"осмотр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на 1 (один) год")</f>
        <v>Mobile SMARTS: Магазин 15 с МДЛП,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6" s="4" t="str">
        <f ca="1">IFERROR(__xludf.DUMMYFUNCTION("""COMPUTED_VALUE"""),"Mobile SMARTS: Магазин 15 с МДЛП, РАСШИРЕННЫЙ для интеграции с SAP R/3 через REST/OLE/TXT ")</f>
        <v xml:space="preserve">Mobile SMARTS: Магазин 15 с МДЛП, РАСШИРЕННЫЙ для интеграции с SAP R/3 через REST/OLE/TXT </v>
      </c>
      <c r="F706" s="5">
        <f ca="1">IFERROR(__xludf.DUMMYFUNCTION("""COMPUTED_VALUE"""),15378)</f>
        <v>15378</v>
      </c>
    </row>
    <row r="707" spans="1:6" ht="86.25" customHeight="1" x14ac:dyDescent="0.2">
      <c r="A707" s="4" t="str">
        <f ca="1">IFERROR(__xludf.DUMMYFUNCTION("""COMPUTED_VALUE"""),"интеграции с SAP R/3 через REST/OLE/TXT")</f>
        <v>интеграции с SAP R/3 через REST/OLE/TXT</v>
      </c>
      <c r="B707" s="4" t="str">
        <f ca="1">IFERROR(__xludf.DUMMYFUNCTION("""COMPUTED_VALUE"""),"с МДЛП, МЕГАМАРКЕТ")</f>
        <v>с МДЛП, МЕГАМАРКЕТ</v>
      </c>
      <c r="C707" s="4" t="str">
        <f ca="1">IFERROR(__xludf.DUMMYFUNCTION("""COMPUTED_VALUE"""),"RTL15CL-SAPR3")</f>
        <v>RTL15CL-SAPR3</v>
      </c>
      <c r="D707" s="4" t="str">
        <f ca="1">IFERROR(__xludf.DUMMYFUNCTION("""COMPUTED_VALUE"""),"Mobile SMARTS: Магазин 15 с МДЛП,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провод"&amp;"ной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про"&amp;"смотр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устройс"&amp;"тво, подписка на обновления на 1 (один) год")</f>
        <v>Mobile SMARTS: Магазин 15 с МДЛП,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7" s="4" t="str">
        <f ca="1">IFERROR(__xludf.DUMMYFUNCTION("""COMPUTED_VALUE"""),"Mobile SMARTS: Магазин 15 с МДЛП, МЕГАМАРКЕТ для интеграции с SAP R/3 через REST/OLE/TXT ")</f>
        <v xml:space="preserve">Mobile SMARTS: Магазин 15 с МДЛП, МЕГАМАРКЕТ для интеграции с SAP R/3 через REST/OLE/TXT </v>
      </c>
      <c r="F707" s="5">
        <f ca="1">IFERROR(__xludf.DUMMYFUNCTION("""COMPUTED_VALUE"""),22698)</f>
        <v>22698</v>
      </c>
    </row>
    <row r="708" spans="1:6" ht="86.25" customHeight="1" x14ac:dyDescent="0.2">
      <c r="A708" s="4" t="str">
        <f ca="1">IFERROR(__xludf.DUMMYFUNCTION("""COMPUTED_VALUE"""),"интеграции с SAP R/3 через REST/OLE/TXT")</f>
        <v>интеграции с SAP R/3 через REST/OLE/TXT</v>
      </c>
      <c r="B708" s="4" t="str">
        <f ca="1">IFERROR(__xludf.DUMMYFUNCTION("""COMPUTED_VALUE"""),"ПРОДУКТОВЫЙ, БАЗОВЫЙ")</f>
        <v>ПРОДУКТОВЫЙ, БАЗОВЫЙ</v>
      </c>
      <c r="C708" s="4" t="str">
        <f ca="1">IFERROR(__xludf.DUMMYFUNCTION("""COMPUTED_VALUE"""),"RTL15AG-SAPR3")</f>
        <v>RTL15AG-SAPR3</v>
      </c>
      <c r="D708" s="4" t="str">
        <f ca="1">IFERROR(__xludf.DUMMYFUNCTION("""COMPUTED_VALUE"""),"Mobile SMARTS: Магазин 15 ПРОДУКТОВЫЙ,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ПАР"&amp;"ФЮМ,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п"&amp;"ечатью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товар"&amp;"е,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08" s="4" t="str">
        <f ca="1">IFERROR(__xludf.DUMMYFUNCTION("""COMPUTED_VALUE"""),"Mobile SMARTS: Магазин 15 ПРОДУКТОВЫЙ, БАЗОВЫЙ для интеграции с SAP R/3 через REST/OLE/TXT ")</f>
        <v xml:space="preserve">Mobile SMARTS: Магазин 15 ПРОДУКТОВЫЙ, БАЗОВЫЙ для интеграции с SAP R/3 через REST/OLE/TXT </v>
      </c>
      <c r="F708" s="5">
        <f ca="1">IFERROR(__xludf.DUMMYFUNCTION("""COMPUTED_VALUE"""),13158)</f>
        <v>13158</v>
      </c>
    </row>
    <row r="709" spans="1:6" ht="86.25" customHeight="1" x14ac:dyDescent="0.2">
      <c r="A709" s="4" t="str">
        <f ca="1">IFERROR(__xludf.DUMMYFUNCTION("""COMPUTED_VALUE"""),"интеграции с SAP R/3 через REST/OLE/TXT")</f>
        <v>интеграции с SAP R/3 через REST/OLE/TXT</v>
      </c>
      <c r="B709" s="4" t="str">
        <f ca="1">IFERROR(__xludf.DUMMYFUNCTION("""COMPUTED_VALUE"""),"ПРОДУКТОВЫЙ, РАСШИРЕННЫЙ")</f>
        <v>ПРОДУКТОВЫЙ, РАСШИРЕННЫЙ</v>
      </c>
      <c r="C709" s="4" t="str">
        <f ca="1">IFERROR(__xludf.DUMMYFUNCTION("""COMPUTED_VALUE"""),"RTL15BG-SAPR3")</f>
        <v>RTL15BG-SAPR3</v>
      </c>
      <c r="D709" s="4" t="str">
        <f ca="1">IFERROR(__xludf.DUMMYFUNCTION("""COMPUTED_VALUE"""),"Mobile SMARTS: Магазин 15 ПРОДУКТОВЫЙ,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ОБУВЬ,"&amp;"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т.ч."&amp;"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09" s="4" t="str">
        <f ca="1">IFERROR(__xludf.DUMMYFUNCTION("""COMPUTED_VALUE"""),"Mobile SMARTS: Магазин 15 ПРОДУКТОВЫЙ, РАСШИРЕННЫЙ для интеграции с SAP R/3 через REST/OLE/TXT ")</f>
        <v xml:space="preserve">Mobile SMARTS: Магазин 15 ПРОДУКТОВЫЙ, РАСШИРЕННЫЙ для интеграции с SAP R/3 через REST/OLE/TXT </v>
      </c>
      <c r="F709" s="5">
        <f ca="1">IFERROR(__xludf.DUMMYFUNCTION("""COMPUTED_VALUE"""),18078)</f>
        <v>18078</v>
      </c>
    </row>
    <row r="710" spans="1:6" ht="86.25" customHeight="1" x14ac:dyDescent="0.2">
      <c r="A710" s="4" t="str">
        <f ca="1">IFERROR(__xludf.DUMMYFUNCTION("""COMPUTED_VALUE"""),"интеграции с SAP R/3 через REST/OLE/TXT")</f>
        <v>интеграции с SAP R/3 через REST/OLE/TXT</v>
      </c>
      <c r="B710" s="4" t="str">
        <f ca="1">IFERROR(__xludf.DUMMYFUNCTION("""COMPUTED_VALUE"""),"ПРОДУКТОВЫЙ, МЕГАМАРКЕТ")</f>
        <v>ПРОДУКТОВЫЙ, МЕГАМАРКЕТ</v>
      </c>
      <c r="C710" s="4" t="str">
        <f ca="1">IFERROR(__xludf.DUMMYFUNCTION("""COMPUTED_VALUE"""),"RTL15CG-SAPR3")</f>
        <v>RTL15CG-SAPR3</v>
      </c>
      <c r="D710" s="4" t="str">
        <f ca="1">IFERROR(__xludf.DUMMYFUNCTION("""COMPUTED_VALUE"""),"Mobile SMARTS: Магазин 15 ПРОДУКТОВЫЙ,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"&amp;"ПАРФЮМ,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"&amp;"с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ра"&amp;"бота,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10" s="4" t="str">
        <f ca="1">IFERROR(__xludf.DUMMYFUNCTION("""COMPUTED_VALUE"""),"Mobile SMARTS: Магазин 15 ПРОДУКТОВЫЙ, МЕГАМАРКЕТ для интеграции с SAP R/3 через REST/OLE/TXT ")</f>
        <v xml:space="preserve">Mobile SMARTS: Магазин 15 ПРОДУКТОВЫЙ, МЕГАМАРКЕТ для интеграции с SAP R/3 через REST/OLE/TXT </v>
      </c>
      <c r="F710" s="5">
        <f ca="1">IFERROR(__xludf.DUMMYFUNCTION("""COMPUTED_VALUE"""),30169)</f>
        <v>30169</v>
      </c>
    </row>
    <row r="711" spans="1:6" ht="86.25" customHeight="1" x14ac:dyDescent="0.2">
      <c r="A711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1" s="4" t="str">
        <f ca="1">IFERROR(__xludf.DUMMYFUNCTION("""COMPUTED_VALUE"""),"МИНИМУМ")</f>
        <v>МИНИМУМ</v>
      </c>
      <c r="C711" s="4" t="str">
        <f ca="1">IFERROR(__xludf.DUMMYFUNCTION("""COMPUTED_VALUE"""),"RTL15M-MSAX")</f>
        <v>RTL15M-MSAX</v>
      </c>
      <c r="D711" s="4" t="str">
        <f ca="1">IFERROR(__xludf.DUMMYFUNCTION("""COMPUTED_VALUE"""),"Mobile SMARTS: Магазин 15, МИНИМУМ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/"&amp;"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ус"&amp;"тройство, подписка на обновления на 1 (один) год")</f>
        <v>Mobile SMARTS: Магазин 15, МИНИМУМ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711" s="4" t="str">
        <f ca="1">IFERROR(__xludf.DUMMYFUNCTION("""COMPUTED_VALUE"""),"Mobile SMARTS: Магазин 15, МИНИМУМ для интеграции с Microsoft Dynamics AX (Axapta) через REST/OLE/TXT ")</f>
        <v xml:space="preserve">Mobile SMARTS: Магазин 15, МИНИМУМ для интеграции с Microsoft Dynamics AX (Axapta) через REST/OLE/TXT </v>
      </c>
      <c r="F711" s="5">
        <f ca="1">IFERROR(__xludf.DUMMYFUNCTION("""COMPUTED_VALUE"""),5450)</f>
        <v>5450</v>
      </c>
    </row>
    <row r="712" spans="1:6" ht="86.25" customHeight="1" x14ac:dyDescent="0.2">
      <c r="A712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2" s="4" t="str">
        <f ca="1">IFERROR(__xludf.DUMMYFUNCTION("""COMPUTED_VALUE"""),"БАЗОВЫЙ")</f>
        <v>БАЗОВЫЙ</v>
      </c>
      <c r="C712" s="4" t="str">
        <f ca="1">IFERROR(__xludf.DUMMYFUNCTION("""COMPUTED_VALUE"""),"RTL15A-MSAX")</f>
        <v>RTL15A-MSAX</v>
      </c>
      <c r="D712" s="4" t="str">
        <f ca="1">IFERROR(__xludf.DUMMYFUNCTION("""COMPUTED_VALUE"""),"Mobile SMARTS: Магазин 15, БАЗОВЫЙ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/"&amp;"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склада"&amp;"х,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БАЗОВЫЙ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2" s="4" t="str">
        <f ca="1">IFERROR(__xludf.DUMMYFUNCTION("""COMPUTED_VALUE"""),"Mobile SMARTS: Магазин 15, БАЗОВЫЙ для интеграции с Microsoft Dynamics AX (Axapta) через REST/OLE/TXT ")</f>
        <v xml:space="preserve">Mobile SMARTS: Магазин 15, БАЗОВЫЙ для интеграции с Microsoft Dynamics AX (Axapta) через REST/OLE/TXT </v>
      </c>
      <c r="F712" s="5">
        <f ca="1">IFERROR(__xludf.DUMMYFUNCTION("""COMPUTED_VALUE"""),10650)</f>
        <v>10650</v>
      </c>
    </row>
    <row r="713" spans="1:6" ht="86.25" customHeight="1" x14ac:dyDescent="0.2">
      <c r="A713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3" s="4" t="str">
        <f ca="1">IFERROR(__xludf.DUMMYFUNCTION("""COMPUTED_VALUE"""),"РАСШИРЕННЫЙ")</f>
        <v>РАСШИРЕННЫЙ</v>
      </c>
      <c r="C713" s="4" t="str">
        <f ca="1">IFERROR(__xludf.DUMMYFUNCTION("""COMPUTED_VALUE"""),"RTL15B-MSAX")</f>
        <v>RTL15B-MSAX</v>
      </c>
      <c r="D713" s="4" t="str">
        <f ca="1">IFERROR(__xludf.DUMMYFUNCTION("""COMPUTED_VALUE"""),"Mobile SMARTS: Магазин 15, РАСШИРЕННЫЙ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обм"&amp;"ен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ск"&amp;"ладах,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РАСШИРЕННЫЙ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3" s="4" t="str">
        <f ca="1">IFERROR(__xludf.DUMMYFUNCTION("""COMPUTED_VALUE"""),"Mobile SMARTS: Магазин 15, РАСШИРЕННЫЙ для интеграции с Microsoft Dynamics AX (Axapta) через REST/OLE/TXT ")</f>
        <v xml:space="preserve">Mobile SMARTS: Магазин 15, РАСШИРЕННЫЙ для интеграции с Microsoft Dynamics AX (Axapta) через REST/OLE/TXT </v>
      </c>
      <c r="F713" s="5">
        <f ca="1">IFERROR(__xludf.DUMMYFUNCTION("""COMPUTED_VALUE"""),17050)</f>
        <v>17050</v>
      </c>
    </row>
    <row r="714" spans="1:6" ht="86.25" customHeight="1" x14ac:dyDescent="0.2">
      <c r="A714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4" s="4" t="str">
        <f ca="1">IFERROR(__xludf.DUMMYFUNCTION("""COMPUTED_VALUE"""),"МЕГАМАРКЕТ")</f>
        <v>МЕГАМАРКЕТ</v>
      </c>
      <c r="C714" s="4" t="str">
        <f ca="1">IFERROR(__xludf.DUMMYFUNCTION("""COMPUTED_VALUE"""),"RTL15C-MSAX")</f>
        <v>RTL15C-MSAX</v>
      </c>
      <c r="D714" s="4" t="str">
        <f ca="1">IFERROR(__xludf.DUMMYFUNCTION("""COMPUTED_VALUE"""),"Mobile SMARTS: Магазин 15, МЕГАМАРКЕТ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обме"&amp;"н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МЕГАМАРКЕТ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4" s="4" t="str">
        <f ca="1">IFERROR(__xludf.DUMMYFUNCTION("""COMPUTED_VALUE"""),"Mobile SMARTS: Магазин 15, МЕГАМАРКЕТ для интеграции с Microsoft Dynamics AX (Axapta) через REST/OLE/TXT ")</f>
        <v xml:space="preserve">Mobile SMARTS: Магазин 15, МЕГАМАРКЕТ для интеграции с Microsoft Dynamics AX (Axapta) через REST/OLE/TXT </v>
      </c>
      <c r="F714" s="5">
        <f ca="1">IFERROR(__xludf.DUMMYFUNCTION("""COMPUTED_VALUE"""),23550)</f>
        <v>23550</v>
      </c>
    </row>
    <row r="715" spans="1:6" ht="86.25" customHeight="1" x14ac:dyDescent="0.2">
      <c r="A715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5" s="4" t="str">
        <f ca="1">IFERROR(__xludf.DUMMYFUNCTION("""COMPUTED_VALUE"""),"с ЕГАИС, БАЗОВЫЙ")</f>
        <v>с ЕГАИС, БАЗОВЫЙ</v>
      </c>
      <c r="C715" s="4" t="str">
        <f ca="1">IFERROR(__xludf.DUMMYFUNCTION("""COMPUTED_VALUE"""),"RTL15AE-MSAX")</f>
        <v>RTL15AE-MSAX</v>
      </c>
      <c r="D715" s="4" t="str">
        <f ca="1">IFERROR(__xludf.DUMMYFUNCTION("""COMPUTED_VALUE"""),"Mobile SMARTS: Магазин 15 с ЕГАИС,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"&amp;"выбор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справо"&amp;"чников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обн"&amp;"овления на 1 (один) год")</f>
        <v>Mobile SMARTS: Магазин 15 с ЕГАИС,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715" s="4" t="str">
        <f ca="1">IFERROR(__xludf.DUMMYFUNCTION("""COMPUTED_VALUE"""),"Mobile SMARTS: Магазин 15 с ЕГАИС, БАЗОВЫЙ для интеграции с Microsoft Dynamics AX (Axapta) через REST/OLE/TXT ")</f>
        <v xml:space="preserve">Mobile SMARTS: Магазин 15 с ЕГАИС, БАЗОВЫЙ для интеграции с Microsoft Dynamics AX (Axapta) через REST/OLE/TXT </v>
      </c>
      <c r="F715" s="5">
        <f ca="1">IFERROR(__xludf.DUMMYFUNCTION("""COMPUTED_VALUE"""),13000)</f>
        <v>13000</v>
      </c>
    </row>
    <row r="716" spans="1:6" ht="86.25" customHeight="1" x14ac:dyDescent="0.2">
      <c r="A716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6" s="4" t="str">
        <f ca="1">IFERROR(__xludf.DUMMYFUNCTION("""COMPUTED_VALUE"""),"с ЕГАИС, РАСШИРЕННЫЙ")</f>
        <v>с ЕГАИС, РАСШИРЕННЫЙ</v>
      </c>
      <c r="C716" s="4" t="str">
        <f ca="1">IFERROR(__xludf.DUMMYFUNCTION("""COMPUTED_VALUE"""),"RTL15BE-MSAX")</f>
        <v>RTL15BE-MSAX</v>
      </c>
      <c r="D716" s="4" t="str">
        <f ca="1">IFERROR(__xludf.DUMMYFUNCTION("""COMPUTED_VALUE"""),"Mobile SMARTS: Магазин 15 с ЕГАИС,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/"&amp;"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сп"&amp;"равочников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подпис"&amp;"ка на обновления на 1 (один) год")</f>
        <v>Mobile SMARTS: Магазин 15 с ЕГАИС,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6" s="4" t="str">
        <f ca="1">IFERROR(__xludf.DUMMYFUNCTION("""COMPUTED_VALUE"""),"Mobile SMARTS: Магазин 15 с ЕГАИС, РАСШИРЕННЫЙ для интеграции с Microsoft Dynamics AX (Axapta) через REST/OLE/TXT ")</f>
        <v xml:space="preserve">Mobile SMARTS: Магазин 15 с ЕГАИС, РАСШИРЕННЫЙ для интеграции с Microsoft Dynamics AX (Axapta) через REST/OLE/TXT </v>
      </c>
      <c r="F716" s="5">
        <f ca="1">IFERROR(__xludf.DUMMYFUNCTION("""COMPUTED_VALUE"""),19450)</f>
        <v>19450</v>
      </c>
    </row>
    <row r="717" spans="1:6" ht="86.25" customHeight="1" x14ac:dyDescent="0.2">
      <c r="A717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7" s="4" t="str">
        <f ca="1">IFERROR(__xludf.DUMMYFUNCTION("""COMPUTED_VALUE"""),"с ЕГАИС (без CheckMark2), МЕГАМАРКЕТ")</f>
        <v>с ЕГАИС (без CheckMark2), МЕГАМАРКЕТ</v>
      </c>
      <c r="C717" s="4" t="str">
        <f ca="1">IFERROR(__xludf.DUMMYFUNCTION("""COMPUTED_VALUE"""),"RTL15CEV-MSAX")</f>
        <v>RTL15CEV-MSAX</v>
      </c>
      <c r="D717" s="4" t="str">
        <f ca="1">IFERROR(__xludf.DUMMYFUNCTION("""COMPUTED_VALUE"""),"Mobile SMARTS: Магазин 15 с ЕГАИС (без CheckMark2),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товаром"&amp;"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штрихко"&amp;"дов,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лицензия"&amp;" на 1 (одно) моб. устройство, подписка на обновления на 1 (один) год")</f>
        <v>Mobile SMARTS: Магазин 15 с ЕГАИС (без CheckMark2),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7" s="4" t="str">
        <f ca="1">IFERROR(__xludf.DUMMYFUNCTION("""COMPUTED_VALUE"""),"Mobile SMARTS: Магазин 15 с ЕГАИС (без CheckMark2), МЕГАМАРКЕТ для интеграции с Microsoft Dynamics AX (Axapta) через REST/OLE/TXT ")</f>
        <v xml:space="preserve">Mobile SMARTS: Магазин 15 с ЕГАИС (без CheckMark2), МЕГАМАРКЕТ для интеграции с Microsoft Dynamics AX (Axapta) через REST/OLE/TXT </v>
      </c>
      <c r="F717" s="5">
        <f ca="1">IFERROR(__xludf.DUMMYFUNCTION("""COMPUTED_VALUE"""),25850)</f>
        <v>25850</v>
      </c>
    </row>
    <row r="718" spans="1:6" ht="86.25" customHeight="1" x14ac:dyDescent="0.2">
      <c r="A718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8" s="4" t="str">
        <f ca="1">IFERROR(__xludf.DUMMYFUNCTION("""COMPUTED_VALUE"""),"с МОТП, БАЗОВЫЙ")</f>
        <v>с МОТП, БАЗОВЫЙ</v>
      </c>
      <c r="C718" s="4" t="str">
        <f ca="1">IFERROR(__xludf.DUMMYFUNCTION("""COMPUTED_VALUE"""),"RTL15AT-MSAX")</f>
        <v>RTL15AT-MSAX</v>
      </c>
      <c r="D718" s="4" t="str">
        <f ca="1">IFERROR(__xludf.DUMMYFUNCTION("""COMPUTED_VALUE"""),"Mobile SMARTS: Магазин 15 с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про"&amp;"водной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на 1 (один) год")</f>
        <v>Mobile SMARTS: Магазин 15 с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8" s="4" t="str">
        <f ca="1">IFERROR(__xludf.DUMMYFUNCTION("""COMPUTED_VALUE"""),"Mobile SMARTS: Магазин 15 с МОТП, БАЗОВЫЙ для интеграции с Microsoft Dynamics AX (Axapta) через REST/OLE/TXT ")</f>
        <v xml:space="preserve">Mobile SMARTS: Магазин 15 с МОТП, БАЗОВЫЙ для интеграции с Microsoft Dynamics AX (Axapta) через REST/OLE/TXT </v>
      </c>
      <c r="F718" s="5">
        <f ca="1">IFERROR(__xludf.DUMMYFUNCTION("""COMPUTED_VALUE"""),13150)</f>
        <v>13150</v>
      </c>
    </row>
    <row r="719" spans="1:6" ht="86.25" customHeight="1" x14ac:dyDescent="0.2">
      <c r="A719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9" s="4" t="str">
        <f ca="1">IFERROR(__xludf.DUMMYFUNCTION("""COMPUTED_VALUE"""),"с МОТП, РАСШИРЕННЫЙ")</f>
        <v>с МОТП, РАСШИРЕННЫЙ</v>
      </c>
      <c r="C719" s="4" t="str">
        <f ca="1">IFERROR(__xludf.DUMMYFUNCTION("""COMPUTED_VALUE"""),"RTL15BT-MSAX")</f>
        <v>RTL15BT-MSAX</v>
      </c>
      <c r="D719" s="4" t="str">
        <f ca="1">IFERROR(__xludf.DUMMYFUNCTION("""COMPUTED_VALUE"""),"Mobile SMARTS: Магазин 15 с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выбор"&amp;"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штрихкод"&amp;"ов,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"&amp;"на обновления на 1 (один) год")</f>
        <v>Mobile SMARTS: Магазин 15 с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9" s="4" t="str">
        <f ca="1">IFERROR(__xludf.DUMMYFUNCTION("""COMPUTED_VALUE"""),"Mobile SMARTS: Магазин 15 с МОТП, РАСШИРЕННЫЙ для интеграции с Microsoft Dynamics AX (Axapta) через REST/OLE/TXT ")</f>
        <v xml:space="preserve">Mobile SMARTS: Магазин 15 с МОТП, РАСШИРЕННЫЙ для интеграции с Microsoft Dynamics AX (Axapta) через REST/OLE/TXT </v>
      </c>
      <c r="F719" s="5">
        <f ca="1">IFERROR(__xludf.DUMMYFUNCTION("""COMPUTED_VALUE"""),19450)</f>
        <v>19450</v>
      </c>
    </row>
    <row r="720" spans="1:6" ht="86.25" customHeight="1" x14ac:dyDescent="0.2">
      <c r="A720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0" s="4" t="str">
        <f ca="1">IFERROR(__xludf.DUMMYFUNCTION("""COMPUTED_VALUE"""),"с МОТП, МЕГАМАРКЕТ")</f>
        <v>с МОТП, МЕГАМАРКЕТ</v>
      </c>
      <c r="C720" s="4" t="str">
        <f ca="1">IFERROR(__xludf.DUMMYFUNCTION("""COMPUTED_VALUE"""),"RTL15CT-MSAX")</f>
        <v>RTL15CT-MSAX</v>
      </c>
      <c r="D720" s="4" t="str">
        <f ca="1">IFERROR(__xludf.DUMMYFUNCTION("""COMPUTED_VALUE"""),"Mobile SMARTS: Магазин 15 с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"&amp;"проводной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штрихкодо"&amp;"в,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у"&amp;"стройство, подписка на обновления на 1 (один) год")</f>
        <v>Mobile SMARTS: Магазин 15 с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0" s="4" t="str">
        <f ca="1">IFERROR(__xludf.DUMMYFUNCTION("""COMPUTED_VALUE"""),"Mobile SMARTS: Магазин 15 с МОТП, МЕГАМАРКЕТ для интеграции с Microsoft Dynamics AX (Axapta) через REST/OLE/TXT ")</f>
        <v xml:space="preserve">Mobile SMARTS: Магазин 15 с МОТП, МЕГАМАРКЕТ для интеграции с Microsoft Dynamics AX (Axapta) через REST/OLE/TXT </v>
      </c>
      <c r="F720" s="5">
        <f ca="1">IFERROR(__xludf.DUMMYFUNCTION("""COMPUTED_VALUE"""),25850)</f>
        <v>25850</v>
      </c>
    </row>
    <row r="721" spans="1:6" ht="86.25" customHeight="1" x14ac:dyDescent="0.2">
      <c r="A721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1" s="4" t="str">
        <f ca="1">IFERROR(__xludf.DUMMYFUNCTION("""COMPUTED_VALUE"""),"с ЕГАИС и МОТП, БАЗОВЫЙ")</f>
        <v>с ЕГАИС и МОТП, БАЗОВЫЙ</v>
      </c>
      <c r="C721" s="4" t="str">
        <f ca="1">IFERROR(__xludf.DUMMYFUNCTION("""COMPUTED_VALUE"""),"RTL15AET-MSAX")</f>
        <v>RTL15AET-MSAX</v>
      </c>
      <c r="D721" s="4" t="str">
        <f ca="1">IFERROR(__xludf.DUMMYFUNCTION("""COMPUTED_VALUE"""),"Mobile SMARTS: Магазин 15 с ЕГАИС и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тов"&amp;"аром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мобил"&amp;"ьный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кон"&amp;"трагентах,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1" s="4" t="str">
        <f ca="1">IFERROR(__xludf.DUMMYFUNCTION("""COMPUTED_VALUE"""),"Mobile SMARTS: Магазин 15 с ЕГАИС и МОТП, БАЗОВЫЙ для интеграции с Microsoft Dynamics AX (Axapta) через REST/OLE/TXT ")</f>
        <v xml:space="preserve">Mobile SMARTS: Магазин 15 с ЕГАИС и МОТП, БАЗОВЫЙ для интеграции с Microsoft Dynamics AX (Axapta) через REST/OLE/TXT </v>
      </c>
      <c r="F721" s="5">
        <f ca="1">IFERROR(__xludf.DUMMYFUNCTION("""COMPUTED_VALUE"""),14150)</f>
        <v>14150</v>
      </c>
    </row>
    <row r="722" spans="1:6" ht="86.25" customHeight="1" x14ac:dyDescent="0.2">
      <c r="A722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2" s="4" t="str">
        <f ca="1">IFERROR(__xludf.DUMMYFUNCTION("""COMPUTED_VALUE"""),"с ЕГАИС и МОТП, РАСШИРЕННЫЙ")</f>
        <v>с ЕГАИС и МОТП, РАСШИРЕННЫЙ</v>
      </c>
      <c r="C722" s="4" t="str">
        <f ca="1">IFERROR(__xludf.DUMMYFUNCTION("""COMPUTED_VALUE"""),"RTL15BET-MSAX")</f>
        <v>RTL15BET-MSAX</v>
      </c>
      <c r="D722" s="4" t="str">
        <f ca="1">IFERROR(__xludf.DUMMYFUNCTION("""COMPUTED_VALUE"""),"Mobile SMARTS: Магазин 15 с ЕГАИС и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и"&amp;"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м"&amp;"обильный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2" s="4" t="str">
        <f ca="1">IFERROR(__xludf.DUMMYFUNCTION("""COMPUTED_VALUE"""),"Mobile SMARTS: Магазин 15 с ЕГАИС и МОТП, РАСШИРЕННЫЙ для интеграции с Microsoft Dynamics AX (Axapta) через REST/OLE/TXT ")</f>
        <v xml:space="preserve">Mobile SMARTS: Магазин 15 с ЕГАИС и МОТП, РАСШИРЕННЫЙ для интеграции с Microsoft Dynamics AX (Axapta) через REST/OLE/TXT </v>
      </c>
      <c r="F722" s="5">
        <f ca="1">IFERROR(__xludf.DUMMYFUNCTION("""COMPUTED_VALUE"""),20550)</f>
        <v>20550</v>
      </c>
    </row>
    <row r="723" spans="1:6" ht="86.25" customHeight="1" x14ac:dyDescent="0.2">
      <c r="A723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3" s="4" t="str">
        <f ca="1">IFERROR(__xludf.DUMMYFUNCTION("""COMPUTED_VALUE"""),"с ЕГАИС и МОТП, МЕГАМАРКЕТ")</f>
        <v>с ЕГАИС и МОТП, МЕГАМАРКЕТ</v>
      </c>
      <c r="C723" s="4" t="str">
        <f ca="1">IFERROR(__xludf.DUMMYFUNCTION("""COMPUTED_VALUE"""),"RTL15CET-MSAX")</f>
        <v>RTL15CET-MSAX</v>
      </c>
      <c r="D723" s="4" t="str">
        <f ca="1">IFERROR(__xludf.DUMMYFUNCTION("""COMPUTED_VALUE"""),"Mobile SMARTS: Магазин 15 с ЕГАИС и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"&amp;"товаром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мо"&amp;"бильный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информаци"&amp;"я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3" s="4" t="str">
        <f ca="1">IFERROR(__xludf.DUMMYFUNCTION("""COMPUTED_VALUE"""),"Mobile SMARTS: Магазин 15 с ЕГАИС и МОТП, МЕГАМАРКЕТ для интеграции с Microsoft Dynamics AX (Axapta) через REST/OLE/TXT ")</f>
        <v xml:space="preserve">Mobile SMARTS: Магазин 15 с ЕГАИС и МОТП, МЕГАМАРКЕТ для интеграции с Microsoft Dynamics AX (Axapta) через REST/OLE/TXT </v>
      </c>
      <c r="F723" s="5">
        <f ca="1">IFERROR(__xludf.DUMMYFUNCTION("""COMPUTED_VALUE"""),28350)</f>
        <v>28350</v>
      </c>
    </row>
    <row r="724" spans="1:6" ht="86.25" customHeight="1" x14ac:dyDescent="0.2">
      <c r="A724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4" s="4" t="str">
        <f ca="1">IFERROR(__xludf.DUMMYFUNCTION("""COMPUTED_VALUE"""),"ШМОТКИ, БАЗОВЫЙ")</f>
        <v>ШМОТКИ, БАЗОВЫЙ</v>
      </c>
      <c r="C724" s="4" t="str">
        <f ca="1">IFERROR(__xludf.DUMMYFUNCTION("""COMPUTED_VALUE"""),"RTL15AK-MSAX")</f>
        <v>RTL15AK-MSAX</v>
      </c>
      <c r="D724" s="4" t="str">
        <f ca="1">IFERROR(__xludf.DUMMYFUNCTION("""COMPUTED_VALUE"""),"Mobile SMARTS: Магазин 15 с КИРОВКОЙ,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товаро"&amp;"м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"&amp;"перемещение,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"&amp;"моб. устройство, подписка на обновления на 1 (один) год")</f>
        <v>Mobile SMARTS: Магазин 15 с КИРОВКОЙ,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4" s="4" t="str">
        <f ca="1">IFERROR(__xludf.DUMMYFUNCTION("""COMPUTED_VALUE"""),"Mobile SMARTS: Магазин 15 с КИРОВКОЙ, БАЗОВЫЙ для интеграции с Microsoft Dynamics AX (Axapta) через REST/OLE/TXT ")</f>
        <v xml:space="preserve">Mobile SMARTS: Магазин 15 с КИРОВКОЙ, БАЗОВЫЙ для интеграции с Microsoft Dynamics AX (Axapta) через REST/OLE/TXT </v>
      </c>
      <c r="F724" s="5">
        <f ca="1">IFERROR(__xludf.DUMMYFUNCTION("""COMPUTED_VALUE"""),14150)</f>
        <v>14150</v>
      </c>
    </row>
    <row r="725" spans="1:6" ht="86.25" customHeight="1" x14ac:dyDescent="0.2">
      <c r="A725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5" s="4" t="str">
        <f ca="1">IFERROR(__xludf.DUMMYFUNCTION("""COMPUTED_VALUE"""),"ШМОТКИ, РАСШИРЕННЫЙ")</f>
        <v>ШМОТКИ, РАСШИРЕННЫЙ</v>
      </c>
      <c r="C725" s="4" t="str">
        <f ca="1">IFERROR(__xludf.DUMMYFUNCTION("""COMPUTED_VALUE"""),"RTL15BK-MSAX")</f>
        <v>RTL15BK-MSAX</v>
      </c>
      <c r="D725" s="4" t="str">
        <f ca="1">IFERROR(__xludf.DUMMYFUNCTION("""COMPUTED_VALUE"""),"Mobile SMARTS: Магазин 15 с КИРОВКОЙ,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то"&amp;"варом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К"&amp;"М),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(од"&amp;"но) моб. устройство, подписка на обновления на 1 (один) год")</f>
        <v>Mobile SMARTS: Магазин 15 с КИРОВКОЙ,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5" s="4" t="str">
        <f ca="1">IFERROR(__xludf.DUMMYFUNCTION("""COMPUTED_VALUE"""),"Mobile SMARTS: Магазин 15 с КИРОВКОЙ, РАСШИРЕННЫЙ для интеграции с Microsoft Dynamics AX (Axapta) через REST/OLE/TXT ")</f>
        <v xml:space="preserve">Mobile SMARTS: Магазин 15 с КИРОВКОЙ, РАСШИРЕННЫЙ для интеграции с Microsoft Dynamics AX (Axapta) через REST/OLE/TXT </v>
      </c>
      <c r="F725" s="5">
        <f ca="1">IFERROR(__xludf.DUMMYFUNCTION("""COMPUTED_VALUE"""),20550)</f>
        <v>20550</v>
      </c>
    </row>
    <row r="726" spans="1:6" ht="86.25" customHeight="1" x14ac:dyDescent="0.2">
      <c r="A726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6" s="4" t="str">
        <f ca="1">IFERROR(__xludf.DUMMYFUNCTION("""COMPUTED_VALUE"""),"ШМОТКИ, МЕГАМАРКЕТ")</f>
        <v>ШМОТКИ, МЕГАМАРКЕТ</v>
      </c>
      <c r="C726" s="4" t="str">
        <f ca="1">IFERROR(__xludf.DUMMYFUNCTION("""COMPUTED_VALUE"""),"RTL15CK-MSAX")</f>
        <v>RTL15CK-MSAX</v>
      </c>
      <c r="D726" s="4" t="str">
        <f ca="1">IFERROR(__xludf.DUMMYFUNCTION("""COMPUTED_VALUE"""),"Mobile SMARTS: Магазин 15 с КИРОВКОЙ,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тов"&amp;"аром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бессрочн"&amp;"ая лицензия на 1 (одно) моб. устройство, подписка на обновления на 1 (один) год")</f>
        <v>Mobile SMARTS: Магазин 15 с КИРОВКОЙ,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6" s="4" t="str">
        <f ca="1">IFERROR(__xludf.DUMMYFUNCTION("""COMPUTED_VALUE"""),"Mobile SMARTS: Магазин 15 с КИРОВКОЙ, МЕГАМАРКЕТ для интеграции с Microsoft Dynamics AX (Axapta) через REST/OLE/TXT ")</f>
        <v xml:space="preserve">Mobile SMARTS: Магазин 15 с КИРОВКОЙ, МЕГАМАРКЕТ для интеграции с Microsoft Dynamics AX (Axapta) через REST/OLE/TXT </v>
      </c>
      <c r="F726" s="5">
        <f ca="1">IFERROR(__xludf.DUMMYFUNCTION("""COMPUTED_VALUE"""),28350)</f>
        <v>28350</v>
      </c>
    </row>
    <row r="727" spans="1:6" ht="86.25" customHeight="1" x14ac:dyDescent="0.2">
      <c r="A727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7" s="4" t="str">
        <f ca="1">IFERROR(__xludf.DUMMYFUNCTION("""COMPUTED_VALUE"""),"с МДЛП, БАЗОВЫЙ")</f>
        <v>с МДЛП, БАЗОВЫЙ</v>
      </c>
      <c r="C727" s="4" t="str">
        <f ca="1">IFERROR(__xludf.DUMMYFUNCTION("""COMPUTED_VALUE"""),"RTL15AL-MSAX")</f>
        <v>RTL15AL-MSAX</v>
      </c>
      <c r="D727" s="4" t="str">
        <f ca="1">IFERROR(__xludf.DUMMYFUNCTION("""COMPUTED_VALUE"""),"Mobile SMARTS: Магазин 15 с МДЛП,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штрихкод"&amp;"ам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"&amp;"сбор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устройст"&amp;"во, подписка на обновления на 1 (один) год")</f>
        <v>Mobile SMARTS: Магазин 15 с МДЛП,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7" s="4" t="str">
        <f ca="1">IFERROR(__xludf.DUMMYFUNCTION("""COMPUTED_VALUE"""),"Mobile SMARTS: Магазин 15 с МДЛП, БАЗОВЫЙ для интеграции с Microsoft Dynamics AX (Axapta) через REST/OLE/TXT ")</f>
        <v xml:space="preserve">Mobile SMARTS: Магазин 15 с МДЛП, БАЗОВЫЙ для интеграции с Microsoft Dynamics AX (Axapta) через REST/OLE/TXT </v>
      </c>
      <c r="F727" s="5">
        <f ca="1">IFERROR(__xludf.DUMMYFUNCTION("""COMPUTED_VALUE"""),10458)</f>
        <v>10458</v>
      </c>
    </row>
    <row r="728" spans="1:6" ht="86.25" customHeight="1" x14ac:dyDescent="0.2">
      <c r="A728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8" s="4" t="str">
        <f ca="1">IFERROR(__xludf.DUMMYFUNCTION("""COMPUTED_VALUE"""),"с МДЛП, РАСШИРЕННЫЙ")</f>
        <v>с МДЛП, РАСШИРЕННЫЙ</v>
      </c>
      <c r="C728" s="4" t="str">
        <f ca="1">IFERROR(__xludf.DUMMYFUNCTION("""COMPUTED_VALUE"""),"RTL15BL-MSAX")</f>
        <v>RTL15BL-MSAX</v>
      </c>
      <c r="D728" s="4" t="str">
        <f ca="1">IFERROR(__xludf.DUMMYFUNCTION("""COMPUTED_VALUE"""),"Mobile SMARTS: Магазин 15 с МДЛП,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штри"&amp;"хкодам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перемещен"&amp;"ие,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устр"&amp;"ойство, подписка на обновления на 1 (один) год")</f>
        <v>Mobile SMARTS: Магазин 15 с МДЛП,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8" s="4" t="str">
        <f ca="1">IFERROR(__xludf.DUMMYFUNCTION("""COMPUTED_VALUE"""),"Mobile SMARTS: Магазин 15 с МДЛП, РАСШИРЕННЫЙ для интеграции с Microsoft Dynamics AX (Axapta) через REST/OLE/TXT ")</f>
        <v xml:space="preserve">Mobile SMARTS: Магазин 15 с МДЛП, РАСШИРЕННЫЙ для интеграции с Microsoft Dynamics AX (Axapta) через REST/OLE/TXT </v>
      </c>
      <c r="F728" s="5">
        <f ca="1">IFERROR(__xludf.DUMMYFUNCTION("""COMPUTED_VALUE"""),15378)</f>
        <v>15378</v>
      </c>
    </row>
    <row r="729" spans="1:6" ht="86.25" customHeight="1" x14ac:dyDescent="0.2">
      <c r="A729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9" s="4" t="str">
        <f ca="1">IFERROR(__xludf.DUMMYFUNCTION("""COMPUTED_VALUE"""),"с МДЛП, МЕГАМАРКЕТ")</f>
        <v>с МДЛП, МЕГАМАРКЕТ</v>
      </c>
      <c r="C729" s="4" t="str">
        <f ca="1">IFERROR(__xludf.DUMMYFUNCTION("""COMPUTED_VALUE"""),"RTL15CL-MSAX")</f>
        <v>RTL15CL-MSAX</v>
      </c>
      <c r="D729" s="4" t="str">
        <f ca="1">IFERROR(__xludf.DUMMYFUNCTION("""COMPUTED_VALUE"""),"Mobile SMARTS: Магазин 15 с МДЛП,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штрих"&amp;"кодам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перемещени"&amp;"е,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на 1 (один) год")</f>
        <v>Mobile SMARTS: Магазин 15 с МДЛП,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9" s="4" t="str">
        <f ca="1">IFERROR(__xludf.DUMMYFUNCTION("""COMPUTED_VALUE"""),"Mobile SMARTS: Магазин 15 с МДЛП, МЕГАМАРКЕТ для интеграции с Microsoft Dynamics AX (Axapta) через REST/OLE/TXT ")</f>
        <v xml:space="preserve">Mobile SMARTS: Магазин 15 с МДЛП, МЕГАМАРКЕТ для интеграции с Microsoft Dynamics AX (Axapta) через REST/OLE/TXT </v>
      </c>
      <c r="F729" s="5">
        <f ca="1">IFERROR(__xludf.DUMMYFUNCTION("""COMPUTED_VALUE"""),22698)</f>
        <v>22698</v>
      </c>
    </row>
    <row r="730" spans="1:6" ht="86.25" customHeight="1" x14ac:dyDescent="0.2">
      <c r="A730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0" s="4" t="str">
        <f ca="1">IFERROR(__xludf.DUMMYFUNCTION("""COMPUTED_VALUE"""),"ПРОДУКТОВЫЙ, БАЗОВЫЙ")</f>
        <v>ПРОДУКТОВЫЙ, БАЗОВЫЙ</v>
      </c>
      <c r="C730" s="4" t="str">
        <f ca="1">IFERROR(__xludf.DUMMYFUNCTION("""COMPUTED_VALUE"""),"RTL15AG-MSAX")</f>
        <v>RTL15AG-MSAX</v>
      </c>
      <c r="D730" s="4" t="str">
        <f ca="1">IFERROR(__xludf.DUMMYFUNCTION("""COMPUTED_VALUE"""),"Mobile SMARTS: Магазин 15 ПРОДУКТОВЫЙ,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В"&amp;"ОДА,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инвентаризация,"&amp;"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возможно"&amp;"сти: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30" s="4" t="str">
        <f ca="1">IFERROR(__xludf.DUMMYFUNCTION("""COMPUTED_VALUE"""),"Mobile SMARTS: Магазин 15 ПРОДУКТОВЫЙ, БАЗОВЫЙ для интеграции с Microsoft Dynamics AX (Axapta) через REST/OLE/TXT ")</f>
        <v xml:space="preserve">Mobile SMARTS: Магазин 15 ПРОДУКТОВЫЙ, БАЗОВЫЙ для интеграции с Microsoft Dynamics AX (Axapta) через REST/OLE/TXT </v>
      </c>
      <c r="F730" s="5">
        <f ca="1">IFERROR(__xludf.DUMMYFUNCTION("""COMPUTED_VALUE"""),13158)</f>
        <v>13158</v>
      </c>
    </row>
    <row r="731" spans="1:6" ht="86.25" customHeight="1" x14ac:dyDescent="0.2">
      <c r="A731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1" s="4" t="str">
        <f ca="1">IFERROR(__xludf.DUMMYFUNCTION("""COMPUTED_VALUE"""),"ПРОДУКТОВЫЙ, РАСШИРЕННЫЙ")</f>
        <v>ПРОДУКТОВЫЙ, РАСШИРЕННЫЙ</v>
      </c>
      <c r="C731" s="4" t="str">
        <f ca="1">IFERROR(__xludf.DUMMYFUNCTION("""COMPUTED_VALUE"""),"RTL15BG-MSAX")</f>
        <v>RTL15BG-MSAX</v>
      </c>
      <c r="D731" s="4" t="str">
        <f ca="1">IFERROR(__xludf.DUMMYFUNCTION("""COMPUTED_VALUE"""),"Mobile SMARTS: Магазин 15 ПРОДУКТОВЫЙ,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МОЛОК"&amp;"О,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инвентариза"&amp;"ция,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возм"&amp;"ожности: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31" s="4" t="str">
        <f ca="1">IFERROR(__xludf.DUMMYFUNCTION("""COMPUTED_VALUE"""),"Mobile SMARTS: Магазин 15 ПРОДУКТОВЫЙ, РАСШИРЕННЫЙ для интеграции с Microsoft Dynamics AX (Axapta) через REST/OLE/TXT ")</f>
        <v xml:space="preserve">Mobile SMARTS: Магазин 15 ПРОДУКТОВЫЙ, РАСШИРЕННЫЙ для интеграции с Microsoft Dynamics AX (Axapta) через REST/OLE/TXT </v>
      </c>
      <c r="F731" s="5">
        <f ca="1">IFERROR(__xludf.DUMMYFUNCTION("""COMPUTED_VALUE"""),18078)</f>
        <v>18078</v>
      </c>
    </row>
    <row r="732" spans="1:6" ht="86.25" customHeight="1" x14ac:dyDescent="0.2">
      <c r="A732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2" s="4" t="str">
        <f ca="1">IFERROR(__xludf.DUMMYFUNCTION("""COMPUTED_VALUE"""),"ПРОДУКТОВЫЙ, МЕГАМАРКЕТ")</f>
        <v>ПРОДУКТОВЫЙ, МЕГАМАРКЕТ</v>
      </c>
      <c r="C732" s="4" t="str">
        <f ca="1">IFERROR(__xludf.DUMMYFUNCTION("""COMPUTED_VALUE"""),"RTL15CG-MSAX")</f>
        <v>RTL15CG-MSAX</v>
      </c>
      <c r="D732" s="4" t="str">
        <f ca="1">IFERROR(__xludf.DUMMYFUNCTION("""COMPUTED_VALUE"""),"Mobile SMARTS: Магазин 15 ПРОДУКТОВЫЙ,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МОЛОКО"&amp;",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инвентаризац"&amp;"ия,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возмо"&amp;"жности: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32" s="4" t="str">
        <f ca="1">IFERROR(__xludf.DUMMYFUNCTION("""COMPUTED_VALUE"""),"Mobile SMARTS: Магазин 15 ПРОДУКТОВЫЙ, МЕГАМАРКЕТ для интеграции с Microsoft Dynamics AX (Axapta) через REST/OLE/TXT ")</f>
        <v xml:space="preserve">Mobile SMARTS: Магазин 15 ПРОДУКТОВЫЙ, МЕГАМАРКЕТ для интеграции с Microsoft Dynamics AX (Axapta) через REST/OLE/TXT </v>
      </c>
      <c r="F732" s="5">
        <f ca="1">IFERROR(__xludf.DUMMYFUNCTION("""COMPUTED_VALUE"""),30169)</f>
        <v>30169</v>
      </c>
    </row>
    <row r="733" spans="1:6" ht="86.25" customHeight="1" x14ac:dyDescent="0.2">
      <c r="A733" s="4" t="str">
        <f ca="1">IFERROR(__xludf.DUMMYFUNCTION("""COMPUTED_VALUE"""),"баз данных на Microsoft SQL Server")</f>
        <v>баз данных на Microsoft SQL Server</v>
      </c>
      <c r="B733" s="4" t="str">
        <f ca="1">IFERROR(__xludf.DUMMYFUNCTION("""COMPUTED_VALUE"""),"МИНИМУМ")</f>
        <v>МИНИМУМ</v>
      </c>
      <c r="C733" s="4" t="str">
        <f ca="1">IFERROR(__xludf.DUMMYFUNCTION("""COMPUTED_VALUE"""),"RTL15M-MSSQL")</f>
        <v>RTL15M-MSSQL</v>
      </c>
      <c r="D733" s="4" t="str">
        <f ca="1">IFERROR(__xludf.DUMMYFUNCTION("""COMPUTED_VALUE"""),"Mobile SMARTS: Магазин 15, МИНИМУМ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опе"&amp;"рации: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обновл"&amp;"ения на 1 (один) год")</f>
        <v>Mobile SMARTS: Магазин 15, МИНИМУМ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733" s="4" t="str">
        <f ca="1">IFERROR(__xludf.DUMMYFUNCTION("""COMPUTED_VALUE"""),"Mobile SMARTS: Магазин 15, МИНИМУМ для баз данных на Microsoft SQL Server ")</f>
        <v xml:space="preserve">Mobile SMARTS: Магазин 15, МИНИМУМ для баз данных на Microsoft SQL Server </v>
      </c>
      <c r="F733" s="5">
        <f ca="1">IFERROR(__xludf.DUMMYFUNCTION("""COMPUTED_VALUE"""),5450)</f>
        <v>5450</v>
      </c>
    </row>
    <row r="734" spans="1:6" ht="86.25" customHeight="1" x14ac:dyDescent="0.2">
      <c r="A734" s="4" t="str">
        <f ca="1">IFERROR(__xludf.DUMMYFUNCTION("""COMPUTED_VALUE"""),"баз данных на Microsoft SQL Server")</f>
        <v>баз данных на Microsoft SQL Server</v>
      </c>
      <c r="B734" s="4" t="str">
        <f ca="1">IFERROR(__xludf.DUMMYFUNCTION("""COMPUTED_VALUE"""),"БАЗОВЫЙ")</f>
        <v>БАЗОВЫЙ</v>
      </c>
      <c r="C734" s="4" t="str">
        <f ca="1">IFERROR(__xludf.DUMMYFUNCTION("""COMPUTED_VALUE"""),"RTL15A-MSSQL")</f>
        <v>RTL15A-MSSQL</v>
      </c>
      <c r="D734" s="4" t="str">
        <f ca="1">IFERROR(__xludf.DUMMYFUNCTION("""COMPUTED_VALUE"""),"Mobile SMARTS: Магазин 15, БАЗОВЫЙ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опе"&amp;"рации: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"&amp;"ценах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БАЗОВЫЙ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4" s="4" t="str">
        <f ca="1">IFERROR(__xludf.DUMMYFUNCTION("""COMPUTED_VALUE"""),"Mobile SMARTS: Магазин 15, БАЗОВЫЙ для баз данных на Microsoft SQL Server ")</f>
        <v xml:space="preserve">Mobile SMARTS: Магазин 15, БАЗОВЫЙ для баз данных на Microsoft SQL Server </v>
      </c>
      <c r="F734" s="5">
        <f ca="1">IFERROR(__xludf.DUMMYFUNCTION("""COMPUTED_VALUE"""),10650)</f>
        <v>10650</v>
      </c>
    </row>
    <row r="735" spans="1:6" ht="86.25" customHeight="1" x14ac:dyDescent="0.2">
      <c r="A735" s="4" t="str">
        <f ca="1">IFERROR(__xludf.DUMMYFUNCTION("""COMPUTED_VALUE"""),"баз данных на Microsoft SQL Server")</f>
        <v>баз данных на Microsoft SQL Server</v>
      </c>
      <c r="B735" s="4" t="str">
        <f ca="1">IFERROR(__xludf.DUMMYFUNCTION("""COMPUTED_VALUE"""),"РАСШИРЕННЫЙ")</f>
        <v>РАСШИРЕННЫЙ</v>
      </c>
      <c r="C735" s="4" t="str">
        <f ca="1">IFERROR(__xludf.DUMMYFUNCTION("""COMPUTED_VALUE"""),"RTL15B-MSSQL")</f>
        <v>RTL15B-MSSQL</v>
      </c>
      <c r="D735" s="4" t="str">
        <f ca="1">IFERROR(__xludf.DUMMYFUNCTION("""COMPUTED_VALUE"""),"Mobile SMARTS: Магазин 15, РАСШИРЕННЫЙ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доступные"&amp;"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остатка"&amp;"х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РАСШИРЕННЫЙ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5" s="4" t="str">
        <f ca="1">IFERROR(__xludf.DUMMYFUNCTION("""COMPUTED_VALUE"""),"Mobile SMARTS: Магазин 15, РАСШИРЕННЫЙ для баз данных на Microsoft SQL Server ")</f>
        <v xml:space="preserve">Mobile SMARTS: Магазин 15, РАСШИРЕННЫЙ для баз данных на Microsoft SQL Server </v>
      </c>
      <c r="F735" s="5">
        <f ca="1">IFERROR(__xludf.DUMMYFUNCTION("""COMPUTED_VALUE"""),17050)</f>
        <v>17050</v>
      </c>
    </row>
    <row r="736" spans="1:6" ht="86.25" customHeight="1" x14ac:dyDescent="0.2">
      <c r="A736" s="4" t="str">
        <f ca="1">IFERROR(__xludf.DUMMYFUNCTION("""COMPUTED_VALUE"""),"баз данных на Microsoft SQL Server")</f>
        <v>баз данных на Microsoft SQL Server</v>
      </c>
      <c r="B736" s="4" t="str">
        <f ca="1">IFERROR(__xludf.DUMMYFUNCTION("""COMPUTED_VALUE"""),"МЕГАМАРКЕТ")</f>
        <v>МЕГАМАРКЕТ</v>
      </c>
      <c r="C736" s="4" t="str">
        <f ca="1">IFERROR(__xludf.DUMMYFUNCTION("""COMPUTED_VALUE"""),"RTL15C-MSSQL")</f>
        <v>RTL15C-MSSQL</v>
      </c>
      <c r="D736" s="4" t="str">
        <f ca="1">IFERROR(__xludf.DUMMYFUNCTION("""COMPUTED_VALUE"""),"Mobile SMARTS: Магазин 15, МЕГАМАРКЕТ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"&amp;"операции: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к"&amp;"онтрагентах,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15, МЕГАМАРКЕТ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6" s="4" t="str">
        <f ca="1">IFERROR(__xludf.DUMMYFUNCTION("""COMPUTED_VALUE"""),"Mobile SMARTS: Магазин 15, МЕГАМАРКЕТ для баз данных на Microsoft SQL Server ")</f>
        <v xml:space="preserve">Mobile SMARTS: Магазин 15, МЕГАМАРКЕТ для баз данных на Microsoft SQL Server </v>
      </c>
      <c r="F736" s="5">
        <f ca="1">IFERROR(__xludf.DUMMYFUNCTION("""COMPUTED_VALUE"""),23550)</f>
        <v>23550</v>
      </c>
    </row>
    <row r="737" spans="1:6" ht="86.25" customHeight="1" x14ac:dyDescent="0.2">
      <c r="A737" s="4" t="str">
        <f ca="1">IFERROR(__xludf.DUMMYFUNCTION("""COMPUTED_VALUE"""),"баз данных на Microsoft SQL Server")</f>
        <v>баз данных на Microsoft SQL Server</v>
      </c>
      <c r="B737" s="4" t="str">
        <f ca="1">IFERROR(__xludf.DUMMYFUNCTION("""COMPUTED_VALUE"""),"с ЕГАИС, БАЗОВЫЙ")</f>
        <v>с ЕГАИС, БАЗОВЫЙ</v>
      </c>
      <c r="C737" s="4" t="str">
        <f ca="1">IFERROR(__xludf.DUMMYFUNCTION("""COMPUTED_VALUE"""),"RTL15AE-MSSQL")</f>
        <v>RTL15AE-MSSQL</v>
      </c>
      <c r="D737" s="4" t="str">
        <f ca="1">IFERROR(__xludf.DUMMYFUNCTION("""COMPUTED_VALUE"""),"Mobile SMARTS: Магазин 15 с ЕГАИС, БАЗОВЫЙ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беспрово"&amp;"дной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печать"&amp;"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год")</f>
        <v>Mobile SMARTS: Магазин 15 с ЕГАИС, БАЗОВЫЙ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737" s="4" t="str">
        <f ca="1">IFERROR(__xludf.DUMMYFUNCTION("""COMPUTED_VALUE"""),"Mobile SMARTS: Магазин 15 с ЕГАИС, БАЗОВЫЙ для баз данных на Microsoft SQL Server ")</f>
        <v xml:space="preserve">Mobile SMARTS: Магазин 15 с ЕГАИС, БАЗОВЫЙ для баз данных на Microsoft SQL Server </v>
      </c>
      <c r="F737" s="5">
        <f ca="1">IFERROR(__xludf.DUMMYFUNCTION("""COMPUTED_VALUE"""),13000)</f>
        <v>13000</v>
      </c>
    </row>
    <row r="738" spans="1:6" ht="86.25" customHeight="1" x14ac:dyDescent="0.2">
      <c r="A738" s="4" t="str">
        <f ca="1">IFERROR(__xludf.DUMMYFUNCTION("""COMPUTED_VALUE"""),"баз данных на Microsoft SQL Server")</f>
        <v>баз данных на Microsoft SQL Server</v>
      </c>
      <c r="B738" s="4" t="str">
        <f ca="1">IFERROR(__xludf.DUMMYFUNCTION("""COMPUTED_VALUE"""),"с ЕГАИС, РАСШИРЕННЫЙ")</f>
        <v>с ЕГАИС, РАСШИРЕННЫЙ</v>
      </c>
      <c r="C738" s="4" t="str">
        <f ca="1">IFERROR(__xludf.DUMMYFUNCTION("""COMPUTED_VALUE"""),"RTL15BE-MSSQL")</f>
        <v>RTL15BE-MSSQL</v>
      </c>
      <c r="D738" s="4" t="str">
        <f ca="1">IFERROR(__xludf.DUMMYFUNCTION("""COMPUTED_VALUE"""),"Mobile SMARTS: Магазин 15 с ЕГАИС,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бесп"&amp;"роводной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(один)"&amp;" год")</f>
        <v>Mobile SMARTS: Магазин 15 с ЕГАИС,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8" s="4" t="str">
        <f ca="1">IFERROR(__xludf.DUMMYFUNCTION("""COMPUTED_VALUE"""),"Mobile SMARTS: Магазин 15 с ЕГАИС, РАСШИРЕННЫЙ для баз данных на Microsoft SQL Server ")</f>
        <v xml:space="preserve">Mobile SMARTS: Магазин 15 с ЕГАИС, РАСШИРЕННЫЙ для баз данных на Microsoft SQL Server </v>
      </c>
      <c r="F738" s="5">
        <f ca="1">IFERROR(__xludf.DUMMYFUNCTION("""COMPUTED_VALUE"""),19450)</f>
        <v>19450</v>
      </c>
    </row>
    <row r="739" spans="1:6" ht="86.25" customHeight="1" x14ac:dyDescent="0.2">
      <c r="A739" s="4" t="str">
        <f ca="1">IFERROR(__xludf.DUMMYFUNCTION("""COMPUTED_VALUE"""),"баз данных на Microsoft SQL Server")</f>
        <v>баз данных на Microsoft SQL Server</v>
      </c>
      <c r="B739" s="4" t="str">
        <f ca="1">IFERROR(__xludf.DUMMYFUNCTION("""COMPUTED_VALUE"""),"с ЕГАИС (без CheckMark2), МЕГАМАРКЕТ")</f>
        <v>с ЕГАИС (без CheckMark2), МЕГАМАРКЕТ</v>
      </c>
      <c r="C739" s="4" t="str">
        <f ca="1">IFERROR(__xludf.DUMMYFUNCTION("""COMPUTED_VALUE"""),"RTL15CEV-MSSQL")</f>
        <v>RTL15CEV-MSSQL</v>
      </c>
      <c r="D739" s="4" t="str">
        <f ca="1">IFERROR(__xludf.DUMMYFUNCTION("""COMPUTED_VALUE"""),"Mobile SMARTS: Магазин 15 с ЕГАИС (без CheckMark2), МЕГАМАРКЕТ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пр"&amp;"оводной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/"&amp;"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устройство"&amp;", подписка на обновления на 1 (один) год")</f>
        <v>Mobile SMARTS: Магазин 15 с ЕГАИС (без CheckMark2), МЕГАМАРКЕТ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9" s="4" t="str">
        <f ca="1">IFERROR(__xludf.DUMMYFUNCTION("""COMPUTED_VALUE"""),"Mobile SMARTS: Магазин 15 с ЕГАИС (без CheckMark2), МЕГАМАРКЕТ для баз данных на Microsoft SQL Server ")</f>
        <v xml:space="preserve">Mobile SMARTS: Магазин 15 с ЕГАИС (без CheckMark2), МЕГАМАРКЕТ для баз данных на Microsoft SQL Server </v>
      </c>
      <c r="F739" s="5">
        <f ca="1">IFERROR(__xludf.DUMMYFUNCTION("""COMPUTED_VALUE"""),25850)</f>
        <v>25850</v>
      </c>
    </row>
    <row r="740" spans="1:6" ht="86.25" customHeight="1" x14ac:dyDescent="0.2">
      <c r="A740" s="4" t="str">
        <f ca="1">IFERROR(__xludf.DUMMYFUNCTION("""COMPUTED_VALUE"""),"баз данных на Microsoft SQL Server")</f>
        <v>баз данных на Microsoft SQL Server</v>
      </c>
      <c r="B740" s="4" t="str">
        <f ca="1">IFERROR(__xludf.DUMMYFUNCTION("""COMPUTED_VALUE"""),"с МОТП, БАЗОВЫЙ")</f>
        <v>с МОТП, БАЗОВЫЙ</v>
      </c>
      <c r="C740" s="4" t="str">
        <f ca="1">IFERROR(__xludf.DUMMYFUNCTION("""COMPUTED_VALUE"""),"RTL15AT-MSSQL")</f>
        <v>RTL15AT-MSSQL</v>
      </c>
      <c r="D740" s="4" t="str">
        <f ca="1">IFERROR(__xludf.DUMMYFUNCTION("""COMPUTED_VALUE"""),"Mobile SMARTS: Магазин 15 с МОТП, БАЗОВЫЙ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обме"&amp;"н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настр"&amp;"ойки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МОТП, БАЗОВЫЙ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0" s="4" t="str">
        <f ca="1">IFERROR(__xludf.DUMMYFUNCTION("""COMPUTED_VALUE"""),"Mobile SMARTS: Магазин 15 с МОТП, БАЗОВЫЙ для баз данных на Microsoft SQL Server ")</f>
        <v xml:space="preserve">Mobile SMARTS: Магазин 15 с МОТП, БАЗОВЫЙ для баз данных на Microsoft SQL Server </v>
      </c>
      <c r="F740" s="5">
        <f ca="1">IFERROR(__xludf.DUMMYFUNCTION("""COMPUTED_VALUE"""),13150)</f>
        <v>13150</v>
      </c>
    </row>
    <row r="741" spans="1:6" ht="86.25" customHeight="1" x14ac:dyDescent="0.2">
      <c r="A741" s="4" t="str">
        <f ca="1">IFERROR(__xludf.DUMMYFUNCTION("""COMPUTED_VALUE"""),"баз данных на Microsoft SQL Server")</f>
        <v>баз данных на Microsoft SQL Server</v>
      </c>
      <c r="B741" s="4" t="str">
        <f ca="1">IFERROR(__xludf.DUMMYFUNCTION("""COMPUTED_VALUE"""),"с МОТП, РАСШИРЕННЫЙ")</f>
        <v>с МОТП, РАСШИРЕННЫЙ</v>
      </c>
      <c r="C741" s="4" t="str">
        <f ca="1">IFERROR(__xludf.DUMMYFUNCTION("""COMPUTED_VALUE"""),"RTL15BT-MSSQL")</f>
        <v>RTL15BT-MSSQL</v>
      </c>
      <c r="D741" s="4" t="str">
        <f ca="1">IFERROR(__xludf.DUMMYFUNCTION("""COMPUTED_VALUE"""),"Mobile SMARTS: Магазин 15 с МОТП, РАСШИРЕННЫЙ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"&amp;"обмен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н"&amp;"астройки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го"&amp;"д")</f>
        <v>Mobile SMARTS: Магазин 15 с МОТП, РАСШИРЕННЫЙ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1" s="4" t="str">
        <f ca="1">IFERROR(__xludf.DUMMYFUNCTION("""COMPUTED_VALUE"""),"Mobile SMARTS: Магазин 15 с МОТП, РАСШИРЕННЫЙ для баз данных на Microsoft SQL Server ")</f>
        <v xml:space="preserve">Mobile SMARTS: Магазин 15 с МОТП, РАСШИРЕННЫЙ для баз данных на Microsoft SQL Server </v>
      </c>
      <c r="F741" s="5">
        <f ca="1">IFERROR(__xludf.DUMMYFUNCTION("""COMPUTED_VALUE"""),19450)</f>
        <v>19450</v>
      </c>
    </row>
    <row r="742" spans="1:6" ht="86.25" customHeight="1" x14ac:dyDescent="0.2">
      <c r="A742" s="4" t="str">
        <f ca="1">IFERROR(__xludf.DUMMYFUNCTION("""COMPUTED_VALUE"""),"баз данных на Microsoft SQL Server")</f>
        <v>баз данных на Microsoft SQL Server</v>
      </c>
      <c r="B742" s="4" t="str">
        <f ca="1">IFERROR(__xludf.DUMMYFUNCTION("""COMPUTED_VALUE"""),"с МОТП, МЕГАМАРКЕТ")</f>
        <v>с МОТП, МЕГАМАРКЕТ</v>
      </c>
      <c r="C742" s="4" t="str">
        <f ca="1">IFERROR(__xludf.DUMMYFUNCTION("""COMPUTED_VALUE"""),"RTL15CT-MSSQL")</f>
        <v>RTL15CT-MSSQL</v>
      </c>
      <c r="D742" s="4" t="str">
        <f ca="1">IFERROR(__xludf.DUMMYFUNCTION("""COMPUTED_VALUE"""),"Mobile SMARTS: Магазин 15 с МОТП, МЕГАМАРКЕТ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о"&amp;"бмен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на"&amp;"стройки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на 1 (один) год")</f>
        <v>Mobile SMARTS: Магазин 15 с МОТП, МЕГАМАРКЕТ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2" s="4" t="str">
        <f ca="1">IFERROR(__xludf.DUMMYFUNCTION("""COMPUTED_VALUE"""),"Mobile SMARTS: Магазин 15 с МОТП, МЕГАМАРКЕТ для баз данных на Microsoft SQL Server ")</f>
        <v xml:space="preserve">Mobile SMARTS: Магазин 15 с МОТП, МЕГАМАРКЕТ для баз данных на Microsoft SQL Server </v>
      </c>
      <c r="F742" s="5">
        <f ca="1">IFERROR(__xludf.DUMMYFUNCTION("""COMPUTED_VALUE"""),25850)</f>
        <v>25850</v>
      </c>
    </row>
    <row r="743" spans="1:6" ht="86.25" customHeight="1" x14ac:dyDescent="0.2">
      <c r="A743" s="4" t="str">
        <f ca="1">IFERROR(__xludf.DUMMYFUNCTION("""COMPUTED_VALUE"""),"баз данных на Microsoft SQL Server")</f>
        <v>баз данных на Microsoft SQL Server</v>
      </c>
      <c r="B743" s="4" t="str">
        <f ca="1">IFERROR(__xludf.DUMMYFUNCTION("""COMPUTED_VALUE"""),"с ЕГАИС и МОТП, БАЗОВЫЙ")</f>
        <v>с ЕГАИС и МОТП, БАЗОВЫЙ</v>
      </c>
      <c r="C743" s="4" t="str">
        <f ca="1">IFERROR(__xludf.DUMMYFUNCTION("""COMPUTED_VALUE"""),"RTL15AET-MSSQL")</f>
        <v>RTL15AET-MSSQL</v>
      </c>
      <c r="D743" s="4" t="str">
        <f ca="1">IFERROR(__xludf.DUMMYFUNCTION("""COMPUTED_VALUE"""),"Mobile SMARTS: Магазин 15 с ЕГАИС и МОТП, БАЗОВЫЙ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выбо"&amp;"р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воз"&amp;"врат,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БАЗОВЫЙ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3" s="4" t="str">
        <f ca="1">IFERROR(__xludf.DUMMYFUNCTION("""COMPUTED_VALUE"""),"Mobile SMARTS: Магазин 15 с ЕГАИС и МОТП, БАЗОВЫЙ для баз данных на Microsoft SQL Server ")</f>
        <v xml:space="preserve">Mobile SMARTS: Магазин 15 с ЕГАИС и МОТП, БАЗОВЫЙ для баз данных на Microsoft SQL Server </v>
      </c>
      <c r="F743" s="5">
        <f ca="1">IFERROR(__xludf.DUMMYFUNCTION("""COMPUTED_VALUE"""),14150)</f>
        <v>14150</v>
      </c>
    </row>
    <row r="744" spans="1:6" ht="86.25" customHeight="1" x14ac:dyDescent="0.2">
      <c r="A744" s="4" t="str">
        <f ca="1">IFERROR(__xludf.DUMMYFUNCTION("""COMPUTED_VALUE"""),"баз данных на Microsoft SQL Server")</f>
        <v>баз данных на Microsoft SQL Server</v>
      </c>
      <c r="B744" s="4" t="str">
        <f ca="1">IFERROR(__xludf.DUMMYFUNCTION("""COMPUTED_VALUE"""),"с ЕГАИС и МОТП, РАСШИРЕННЫЙ")</f>
        <v>с ЕГАИС и МОТП, РАСШИРЕННЫЙ</v>
      </c>
      <c r="C744" s="4" t="str">
        <f ca="1">IFERROR(__xludf.DUMMYFUNCTION("""COMPUTED_VALUE"""),"RTL15BET-MSSQL")</f>
        <v>RTL15BET-MSSQL</v>
      </c>
      <c r="D744" s="4" t="str">
        <f ca="1">IFERROR(__xludf.DUMMYFUNCTION("""COMPUTED_VALUE"""),"Mobile SMARTS: Магазин 15 с ЕГАИС и МОТП,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"&amp;"выбор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списание,"&amp;"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4" s="4" t="str">
        <f ca="1">IFERROR(__xludf.DUMMYFUNCTION("""COMPUTED_VALUE"""),"Mobile SMARTS: Магазин 15 с ЕГАИС и МОТП, РАСШИРЕННЫЙ для баз данных на Microsoft SQL Server ")</f>
        <v xml:space="preserve">Mobile SMARTS: Магазин 15 с ЕГАИС и МОТП, РАСШИРЕННЫЙ для баз данных на Microsoft SQL Server </v>
      </c>
      <c r="F744" s="5">
        <f ca="1">IFERROR(__xludf.DUMMYFUNCTION("""COMPUTED_VALUE"""),20550)</f>
        <v>20550</v>
      </c>
    </row>
    <row r="745" spans="1:6" ht="86.25" customHeight="1" x14ac:dyDescent="0.2">
      <c r="A745" s="4" t="str">
        <f ca="1">IFERROR(__xludf.DUMMYFUNCTION("""COMPUTED_VALUE"""),"баз данных на Microsoft SQL Server")</f>
        <v>баз данных на Microsoft SQL Server</v>
      </c>
      <c r="B745" s="4" t="str">
        <f ca="1">IFERROR(__xludf.DUMMYFUNCTION("""COMPUTED_VALUE"""),"с ЕГАИС и МОТП, МЕГАМАРКЕТ")</f>
        <v>с ЕГАИС и МОТП, МЕГАМАРКЕТ</v>
      </c>
      <c r="C745" s="4" t="str">
        <f ca="1">IFERROR(__xludf.DUMMYFUNCTION("""COMPUTED_VALUE"""),"RTL15CET-MSSQL")</f>
        <v>RTL15CET-MSSQL</v>
      </c>
      <c r="D745" s="4" t="str">
        <f ca="1">IFERROR(__xludf.DUMMYFUNCTION("""COMPUTED_VALUE"""),"Mobile SMARTS: Магазин 15 с ЕГАИС и МОТП, МЕГАМАРКЕТ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в"&amp;"ыбор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"&amp;"возврат,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контраг"&amp;"ентах,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Mobile SMARTS: Магазин 15 с ЕГАИС и МОТП, МЕГАМАРКЕТ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5" s="4" t="str">
        <f ca="1">IFERROR(__xludf.DUMMYFUNCTION("""COMPUTED_VALUE"""),"Mobile SMARTS: Магазин 15 с ЕГАИС и МОТП, МЕГАМАРКЕТ для баз данных на Microsoft SQL Server ")</f>
        <v xml:space="preserve">Mobile SMARTS: Магазин 15 с ЕГАИС и МОТП, МЕГАМАРКЕТ для баз данных на Microsoft SQL Server </v>
      </c>
      <c r="F745" s="5">
        <f ca="1">IFERROR(__xludf.DUMMYFUNCTION("""COMPUTED_VALUE"""),28350)</f>
        <v>28350</v>
      </c>
    </row>
    <row r="746" spans="1:6" ht="86.25" customHeight="1" x14ac:dyDescent="0.2">
      <c r="A746" s="4" t="str">
        <f ca="1">IFERROR(__xludf.DUMMYFUNCTION("""COMPUTED_VALUE"""),"баз данных на Microsoft SQL Server")</f>
        <v>баз данных на Microsoft SQL Server</v>
      </c>
      <c r="B746" s="4" t="str">
        <f ca="1">IFERROR(__xludf.DUMMYFUNCTION("""COMPUTED_VALUE"""),"ШМОТКИ, БАЗОВЫЙ")</f>
        <v>ШМОТКИ, БАЗОВЫЙ</v>
      </c>
      <c r="C746" s="4" t="str">
        <f ca="1">IFERROR(__xludf.DUMMYFUNCTION("""COMPUTED_VALUE"""),"RTL15AK-MSSQL")</f>
        <v>RTL15AK-MSSQL</v>
      </c>
      <c r="D746" s="4" t="str">
        <f ca="1">IFERROR(__xludf.DUMMYFUNCTION("""COMPUTED_VALUE"""),"Mobile SMARTS: Магазин 15 с КИРОВКОЙ, БАЗОВЫЙ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п"&amp;"роводной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штрихкодов"&amp;",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на"&amp;" обновления на 1 (один) год")</f>
        <v>Mobile SMARTS: Магазин 15 с КИРОВКОЙ, БАЗОВЫЙ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6" s="4" t="str">
        <f ca="1">IFERROR(__xludf.DUMMYFUNCTION("""COMPUTED_VALUE"""),"Mobile SMARTS: Магазин 15 с КИРОВКОЙ, БАЗОВЫЙ для баз данных на Microsoft SQL Server ")</f>
        <v xml:space="preserve">Mobile SMARTS: Магазин 15 с КИРОВКОЙ, БАЗОВЫЙ для баз данных на Microsoft SQL Server </v>
      </c>
      <c r="F746" s="5">
        <f ca="1">IFERROR(__xludf.DUMMYFUNCTION("""COMPUTED_VALUE"""),14150)</f>
        <v>14150</v>
      </c>
    </row>
    <row r="747" spans="1:6" ht="86.25" customHeight="1" x14ac:dyDescent="0.2">
      <c r="A747" s="4" t="str">
        <f ca="1">IFERROR(__xludf.DUMMYFUNCTION("""COMPUTED_VALUE"""),"баз данных на Microsoft SQL Server")</f>
        <v>баз данных на Microsoft SQL Server</v>
      </c>
      <c r="B747" s="4" t="str">
        <f ca="1">IFERROR(__xludf.DUMMYFUNCTION("""COMPUTED_VALUE"""),"ШМОТКИ, РАСШИРЕННЫЙ")</f>
        <v>ШМОТКИ, РАСШИРЕННЫЙ</v>
      </c>
      <c r="C747" s="4" t="str">
        <f ca="1">IFERROR(__xludf.DUMMYFUNCTION("""COMPUTED_VALUE"""),"RTL15BK-MSSQL")</f>
        <v>RTL15BK-MSSQL</v>
      </c>
      <c r="D747" s="4" t="str">
        <f ca="1">IFERROR(__xludf.DUMMYFUNCTION("""COMPUTED_VALUE"""),"Mobile SMARTS: Магазин 15 с КИРОВКОЙ, РАСШИРЕННЫЙ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выб"&amp;"ор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штрихк"&amp;"одов,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подписк"&amp;"а на обновления на 1 (один) год")</f>
        <v>Mobile SMARTS: Магазин 15 с КИРОВКОЙ, РАСШИРЕННЫЙ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7" s="4" t="str">
        <f ca="1">IFERROR(__xludf.DUMMYFUNCTION("""COMPUTED_VALUE"""),"Mobile SMARTS: Магазин 15 с КИРОВКОЙ, РАСШИРЕННЫЙ для баз данных на Microsoft SQL Server ")</f>
        <v xml:space="preserve">Mobile SMARTS: Магазин 15 с КИРОВКОЙ, РАСШИРЕННЫЙ для баз данных на Microsoft SQL Server </v>
      </c>
      <c r="F747" s="5">
        <f ca="1">IFERROR(__xludf.DUMMYFUNCTION("""COMPUTED_VALUE"""),20550)</f>
        <v>20550</v>
      </c>
    </row>
    <row r="748" spans="1:6" ht="86.25" customHeight="1" x14ac:dyDescent="0.2">
      <c r="A748" s="4" t="str">
        <f ca="1">IFERROR(__xludf.DUMMYFUNCTION("""COMPUTED_VALUE"""),"баз данных на Microsoft SQL Server")</f>
        <v>баз данных на Microsoft SQL Server</v>
      </c>
      <c r="B748" s="4" t="str">
        <f ca="1">IFERROR(__xludf.DUMMYFUNCTION("""COMPUTED_VALUE"""),"ШМОТКИ, МЕГАМАРКЕТ")</f>
        <v>ШМОТКИ, МЕГАМАРКЕТ</v>
      </c>
      <c r="C748" s="4" t="str">
        <f ca="1">IFERROR(__xludf.DUMMYFUNCTION("""COMPUTED_VALUE"""),"RTL15CK-MSSQL")</f>
        <v>RTL15CK-MSSQL</v>
      </c>
      <c r="D748" s="4" t="str">
        <f ca="1">IFERROR(__xludf.DUMMYFUNCTION("""COMPUTED_VALUE"""),"Mobile SMARTS: Магазин 15 с КИРОВКОЙ, МЕГАМАРКЕТ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выбо"&amp;"р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моб."&amp;" устройство, подписка на обновления на 1 (один) год")</f>
        <v>Mobile SMARTS: Магазин 15 с КИРОВКОЙ, МЕГАМАРКЕТ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8" s="4" t="str">
        <f ca="1">IFERROR(__xludf.DUMMYFUNCTION("""COMPUTED_VALUE"""),"Mobile SMARTS: Магазин 15 с КИРОВКОЙ, МЕГАМАРКЕТ для баз данных на Microsoft SQL Server ")</f>
        <v xml:space="preserve">Mobile SMARTS: Магазин 15 с КИРОВКОЙ, МЕГАМАРКЕТ для баз данных на Microsoft SQL Server </v>
      </c>
      <c r="F748" s="5">
        <f ca="1">IFERROR(__xludf.DUMMYFUNCTION("""COMPUTED_VALUE"""),28350)</f>
        <v>28350</v>
      </c>
    </row>
    <row r="749" spans="1:6" ht="86.25" customHeight="1" x14ac:dyDescent="0.2">
      <c r="A749" s="4" t="str">
        <f ca="1">IFERROR(__xludf.DUMMYFUNCTION("""COMPUTED_VALUE"""),"баз данных на Microsoft SQL Server")</f>
        <v>баз данных на Microsoft SQL Server</v>
      </c>
      <c r="B749" s="4" t="str">
        <f ca="1">IFERROR(__xludf.DUMMYFUNCTION("""COMPUTED_VALUE"""),"с МДЛП, БАЗОВЫЙ")</f>
        <v>с МДЛП, БАЗОВЫЙ</v>
      </c>
      <c r="C749" s="4" t="str">
        <f ca="1">IFERROR(__xludf.DUMMYFUNCTION("""COMPUTED_VALUE"""),"RTL15AL-MSSQL")</f>
        <v>RTL15AL-MSSQL</v>
      </c>
      <c r="D749" s="4" t="str">
        <f ca="1">IFERROR(__xludf.DUMMYFUNCTION("""COMPUTED_VALUE"""),"Mobile SMARTS: Магазин 15 с МДЛП, БАЗОВЫЙ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"&amp;"беспроводной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сп"&amp;"равочников,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н"&amp;"а 1 (один) год")</f>
        <v>Mobile SMARTS: Магазин 15 с МДЛП, БАЗОВЫЙ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9" s="4" t="str">
        <f ca="1">IFERROR(__xludf.DUMMYFUNCTION("""COMPUTED_VALUE"""),"Mobile SMARTS: Магазин 15 с МДЛП, БАЗОВЫЙ для баз данных на Microsoft SQL Server ")</f>
        <v xml:space="preserve">Mobile SMARTS: Магазин 15 с МДЛП, БАЗОВЫЙ для баз данных на Microsoft SQL Server </v>
      </c>
      <c r="F749" s="5">
        <f ca="1">IFERROR(__xludf.DUMMYFUNCTION("""COMPUTED_VALUE"""),10458)</f>
        <v>10458</v>
      </c>
    </row>
    <row r="750" spans="1:6" ht="86.25" customHeight="1" x14ac:dyDescent="0.2">
      <c r="A750" s="4" t="str">
        <f ca="1">IFERROR(__xludf.DUMMYFUNCTION("""COMPUTED_VALUE"""),"баз данных на Microsoft SQL Server")</f>
        <v>баз данных на Microsoft SQL Server</v>
      </c>
      <c r="B750" s="4" t="str">
        <f ca="1">IFERROR(__xludf.DUMMYFUNCTION("""COMPUTED_VALUE"""),"с МДЛП, РАСШИРЕННЫЙ")</f>
        <v>с МДЛП, РАСШИРЕННЫЙ</v>
      </c>
      <c r="C750" s="4" t="str">
        <f ca="1">IFERROR(__xludf.DUMMYFUNCTION("""COMPUTED_VALUE"""),"RTL15BL-MSSQL")</f>
        <v>RTL15BL-MSSQL</v>
      </c>
      <c r="D750" s="4" t="str">
        <f ca="1">IFERROR(__xludf.DUMMYFUNCTION("""COMPUTED_VALUE"""),"Mobile SMARTS: Магазин 15 с МДЛП, РАСШИРЕННЫЙ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"&amp;"или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просмот"&amp;"р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на 1 (один) год")</f>
        <v>Mobile SMARTS: Магазин 15 с МДЛП, РАСШИРЕННЫЙ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50" s="4" t="str">
        <f ca="1">IFERROR(__xludf.DUMMYFUNCTION("""COMPUTED_VALUE"""),"Mobile SMARTS: Магазин 15 с МДЛП, РАСШИРЕННЫЙ для баз данных на Microsoft SQL Server ")</f>
        <v xml:space="preserve">Mobile SMARTS: Магазин 15 с МДЛП, РАСШИРЕННЫЙ для баз данных на Microsoft SQL Server </v>
      </c>
      <c r="F750" s="5">
        <f ca="1">IFERROR(__xludf.DUMMYFUNCTION("""COMPUTED_VALUE"""),15378)</f>
        <v>15378</v>
      </c>
    </row>
    <row r="751" spans="1:6" ht="86.25" customHeight="1" x14ac:dyDescent="0.2">
      <c r="A751" s="4" t="str">
        <f ca="1">IFERROR(__xludf.DUMMYFUNCTION("""COMPUTED_VALUE"""),"баз данных на Microsoft SQL Server")</f>
        <v>баз данных на Microsoft SQL Server</v>
      </c>
      <c r="B751" s="4" t="str">
        <f ca="1">IFERROR(__xludf.DUMMYFUNCTION("""COMPUTED_VALUE"""),"с МДЛП, МЕГАМАРКЕТ")</f>
        <v>с МДЛП, МЕГАМАРКЕТ</v>
      </c>
      <c r="C751" s="4" t="str">
        <f ca="1">IFERROR(__xludf.DUMMYFUNCTION("""COMPUTED_VALUE"""),"RTL15CL-MSSQL")</f>
        <v>RTL15CL-MSSQL</v>
      </c>
      <c r="D751" s="4" t="str">
        <f ca="1">IFERROR(__xludf.DUMMYFUNCTION("""COMPUTED_VALUE"""),"Mobile SMARTS: Магазин 15 с МДЛП, МЕГАМАРКЕТ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и"&amp;"ли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просмотр"&amp;"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"&amp;"подписка на обновления на 1 (один) год")</f>
        <v>Mobile SMARTS: Магазин 15 с МДЛП, МЕГАМАРКЕТ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51" s="4" t="str">
        <f ca="1">IFERROR(__xludf.DUMMYFUNCTION("""COMPUTED_VALUE"""),"Mobile SMARTS: Магазин 15 с МДЛП, МЕГАМАРКЕТ для баз данных на Microsoft SQL Server ")</f>
        <v xml:space="preserve">Mobile SMARTS: Магазин 15 с МДЛП, МЕГАМАРКЕТ для баз данных на Microsoft SQL Server </v>
      </c>
      <c r="F751" s="5">
        <f ca="1">IFERROR(__xludf.DUMMYFUNCTION("""COMPUTED_VALUE"""),22698)</f>
        <v>22698</v>
      </c>
    </row>
    <row r="752" spans="1:6" ht="86.25" customHeight="1" x14ac:dyDescent="0.2">
      <c r="A752" s="4" t="str">
        <f ca="1">IFERROR(__xludf.DUMMYFUNCTION("""COMPUTED_VALUE"""),"баз данных на Microsoft SQL Server")</f>
        <v>баз данных на Microsoft SQL Server</v>
      </c>
      <c r="B752" s="4" t="str">
        <f ca="1">IFERROR(__xludf.DUMMYFUNCTION("""COMPUTED_VALUE"""),"ПРОДУКТОВЫЙ, БАЗОВЫЙ")</f>
        <v>ПРОДУКТОВЫЙ, БАЗОВЫЙ</v>
      </c>
      <c r="C752" s="4" t="str">
        <f ca="1">IFERROR(__xludf.DUMMYFUNCTION("""COMPUTED_VALUE"""),"RTL15AG-MSSQL")</f>
        <v>RTL15AG-MSSQL</v>
      </c>
      <c r="D752" s="4" t="str">
        <f ca="1">IFERROR(__xludf.DUMMYFUNCTION("""COMPUTED_VALUE"""),"Mobile SMARTS: Магазин 15 ПРОДУКТОВЫЙ, БАЗОВЫЙ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"&amp;"ШИНЫ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печать"&amp;"ю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ск"&amp;"ладах,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БАЗОВЫЙ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52" s="4" t="str">
        <f ca="1">IFERROR(__xludf.DUMMYFUNCTION("""COMPUTED_VALUE"""),"Mobile SMARTS: Магазин 15 ПРОДУКТОВЫЙ, БАЗОВЫЙ для баз данных на Microsoft SQL Server ")</f>
        <v xml:space="preserve">Mobile SMARTS: Магазин 15 ПРОДУКТОВЫЙ, БАЗОВЫЙ для баз данных на Microsoft SQL Server </v>
      </c>
      <c r="F752" s="5">
        <f ca="1">IFERROR(__xludf.DUMMYFUNCTION("""COMPUTED_VALUE"""),13158)</f>
        <v>13158</v>
      </c>
    </row>
    <row r="753" spans="1:6" ht="86.25" customHeight="1" x14ac:dyDescent="0.2">
      <c r="A753" s="4" t="str">
        <f ca="1">IFERROR(__xludf.DUMMYFUNCTION("""COMPUTED_VALUE"""),"баз данных на Microsoft SQL Server")</f>
        <v>баз данных на Microsoft SQL Server</v>
      </c>
      <c r="B753" s="4" t="str">
        <f ca="1">IFERROR(__xludf.DUMMYFUNCTION("""COMPUTED_VALUE"""),"ПРОДУКТОВЫЙ, РАСШИРЕННЫЙ")</f>
        <v>ПРОДУКТОВЫЙ, РАСШИРЕННЫЙ</v>
      </c>
      <c r="C753" s="4" t="str">
        <f ca="1">IFERROR(__xludf.DUMMYFUNCTION("""COMPUTED_VALUE"""),"RTL15BG-MSSQL")</f>
        <v>RTL15BG-MSSQL</v>
      </c>
      <c r="D753" s="4" t="str">
        <f ca="1">IFERROR(__xludf.DUMMYFUNCTION("""COMPUTED_VALUE"""),"Mobile SMARTS: Магазин 15 ПРОДУКТОВЫЙ, РАСШИРЕННЫЙ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ПАРФ"&amp;"ЮМ,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пе"&amp;"чатью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товаре"&amp;",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РАСШИРЕННЫЙ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53" s="4" t="str">
        <f ca="1">IFERROR(__xludf.DUMMYFUNCTION("""COMPUTED_VALUE"""),"Mobile SMARTS: Магазин 15 ПРОДУКТОВЫЙ, РАСШИРЕННЫЙ для баз данных на Microsoft SQL Server ")</f>
        <v xml:space="preserve">Mobile SMARTS: Магазин 15 ПРОДУКТОВЫЙ, РАСШИРЕННЫЙ для баз данных на Microsoft SQL Server </v>
      </c>
      <c r="F753" s="5">
        <f ca="1">IFERROR(__xludf.DUMMYFUNCTION("""COMPUTED_VALUE"""),18078)</f>
        <v>18078</v>
      </c>
    </row>
    <row r="754" spans="1:6" ht="86.25" customHeight="1" x14ac:dyDescent="0.2">
      <c r="A754" s="4" t="str">
        <f ca="1">IFERROR(__xludf.DUMMYFUNCTION("""COMPUTED_VALUE"""),"баз данных на Microsoft SQL Server")</f>
        <v>баз данных на Microsoft SQL Server</v>
      </c>
      <c r="B754" s="4" t="str">
        <f ca="1">IFERROR(__xludf.DUMMYFUNCTION("""COMPUTED_VALUE"""),"ПРОДУКТОВЫЙ, МЕГАМАРКЕТ")</f>
        <v>ПРОДУКТОВЫЙ, МЕГАМАРКЕТ</v>
      </c>
      <c r="C754" s="4" t="str">
        <f ca="1">IFERROR(__xludf.DUMMYFUNCTION("""COMPUTED_VALUE"""),"RTL15CG-MSSQL")</f>
        <v>RTL15CG-MSSQL</v>
      </c>
      <c r="D754" s="4" t="str">
        <f ca="1">IFERROR(__xludf.DUMMYFUNCTION("""COMPUTED_VALUE"""),"Mobile SMARTS: Магазин 15 ПРОДУКТОВЫЙ, МЕГАМАРКЕТ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ПАРФЮ"&amp;"М,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печ"&amp;"атью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работа,"&amp;"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Mobile SMARTS: Магазин 15 ПРОДУКТОВЫЙ, МЕГАМАРКЕТ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54" s="4" t="str">
        <f ca="1">IFERROR(__xludf.DUMMYFUNCTION("""COMPUTED_VALUE"""),"Mobile SMARTS: Магазин 15 ПРОДУКТОВЫЙ, МЕГАМАРКЕТ для баз данных на Microsoft SQL Server ")</f>
        <v xml:space="preserve">Mobile SMARTS: Магазин 15 ПРОДУКТОВЫЙ, МЕГАМАРКЕТ для баз данных на Microsoft SQL Server </v>
      </c>
      <c r="F754" s="5">
        <f ca="1">IFERROR(__xludf.DUMMYFUNCTION("""COMPUTED_VALUE"""),30169)</f>
        <v>30169</v>
      </c>
    </row>
    <row r="755" spans="1:6" ht="86.25" customHeight="1" x14ac:dyDescent="0.2">
      <c r="A755" s="4" t="str">
        <f ca="1">IFERROR(__xludf.DUMMYFUNCTION("""COMPUTED_VALUE"""),"Frontol Simple")</f>
        <v>Frontol Simple</v>
      </c>
      <c r="B755" s="4" t="str">
        <f ca="1">IFERROR(__xludf.DUMMYFUNCTION("""COMPUTED_VALUE"""),"МИНИМУМ")</f>
        <v>МИНИМУМ</v>
      </c>
      <c r="C755" s="4" t="str">
        <f ca="1">IFERROR(__xludf.DUMMYFUNCTION("""COMPUTED_VALUE"""),"RTL15M-SMPL")</f>
        <v>RTL15M-SMPL</v>
      </c>
      <c r="D755" s="4" t="str">
        <f ca="1">IFERROR(__xludf.DUMMYFUNCTION("""COMPUTED_VALUE"""),"Mobile SMARTS: Магазин 15, МИНИМУМ для Frontol Simple / только беспроводной обмен / доступные операции: приходная накладная, инвентаризация / возможности: нельзя изменять существующие операции, нельзя добавлять свои операции / бессрочная лицензия на 1 (од"&amp;"но) моб. устройство, подписка на обновления на 1 (один) год")</f>
        <v>Mobile SMARTS: Магазин 15, МИНИМУМ для Frontol Simple / только беспроводной обмен / доступные операции: приходная накладная, инвентаризация / возможности: нельзя изменять существующие операции, нельзя добавлять свои операции / бессрочная лицензия на 1 (одно) моб. устройство, подписка на обновления на 1 (один) год</v>
      </c>
      <c r="E755" s="4" t="str">
        <f ca="1">IFERROR(__xludf.DUMMYFUNCTION("""COMPUTED_VALUE"""),"Mobile SMARTS: Магазин 15, МИНИМУМ для Frontol Simple ")</f>
        <v xml:space="preserve">Mobile SMARTS: Магазин 15, МИНИМУМ для Frontol Simple </v>
      </c>
      <c r="F755" s="5">
        <f ca="1">IFERROR(__xludf.DUMMYFUNCTION("""COMPUTED_VALUE"""),1149)</f>
        <v>1149</v>
      </c>
    </row>
    <row r="756" spans="1:6" ht="86.25" customHeight="1" x14ac:dyDescent="0.2">
      <c r="A756" s="4"/>
      <c r="B756" s="4"/>
      <c r="C756" s="4"/>
      <c r="D756" s="4" t="str">
        <f ca="1">IFERROR(__xludf.DUMMYFUNCTION("""COMPUTED_VALUE"""),"SetRetail10")</f>
        <v>SetRetail10</v>
      </c>
      <c r="E756" s="4" t="str">
        <f ca="1">IFERROR(__xludf.DUMMYFUNCTION("""COMPUTED_VALUE"""),"#VALUE!")</f>
        <v>#VALUE!</v>
      </c>
      <c r="F756" s="5" t="str">
        <f ca="1">IFERROR(__xludf.DUMMYFUNCTION("""COMPUTED_VALUE"""),"#N/A")</f>
        <v>#N/A</v>
      </c>
    </row>
    <row r="757" spans="1:6" ht="86.25" customHeight="1" x14ac:dyDescent="0.2">
      <c r="A757" s="4" t="str">
        <f ca="1">IFERROR(__xludf.DUMMYFUNCTION("""COMPUTED_VALUE"""),"интеграции с SetRetail 10")</f>
        <v>интеграции с SetRetail 10</v>
      </c>
      <c r="B757" s="4" t="str">
        <f ca="1">IFERROR(__xludf.DUMMYFUNCTION("""COMPUTED_VALUE"""),"РАСШИРЕННЫЙ")</f>
        <v>РАСШИРЕННЫЙ</v>
      </c>
      <c r="C757" s="4" t="str">
        <f ca="1">IFERROR(__xludf.DUMMYFUNCTION("""COMPUTED_VALUE"""),"RTL15B-SR10")</f>
        <v>RTL15B-SR10</v>
      </c>
      <c r="D757" s="4" t="str">
        <f ca="1">IFERROR(__xludf.DUMMYFUNCTION("""COMPUTED_VALUE"""),"Mobile SMARTS: Магазин 15, РАСШИРЕННЫЙ для интеграции с SetRetail 10 / только беспроводной обмен / доступные операции: переоценка, информация о товаре по штрихкоду / возможности: печать на мобильный принтер, изменять существующие операции, добавлять свои "&amp;"операции / бессрочная лицензия на 1 (одно) моб. устройство, подписка на обновления на 1 (один) год")</f>
        <v>Mobile SMARTS: Магазин 15, РАСШИРЕННЫЙ для интеграции с SetRetail 10 / только беспроводной обмен / доступные операции: переоценка, информация о товаре по штрихкоду / возможности: печать на мобильный принтер, изменять существующие операции, добавлять свои операции / бессрочная лицензия на 1 (одно) моб. устройство, подписка на обновления на 1 (один) год</v>
      </c>
      <c r="E757" s="4" t="str">
        <f ca="1">IFERROR(__xludf.DUMMYFUNCTION("""COMPUTED_VALUE"""),"Mobile SMARTS: Магазин 15, РАСШИРЕННЫЙ для интеграции с SetRetail 10 ")</f>
        <v xml:space="preserve">Mobile SMARTS: Магазин 15, РАСШИРЕННЫЙ для интеграции с SetRetail 10 </v>
      </c>
      <c r="F757" s="5">
        <f ca="1">IFERROR(__xludf.DUMMYFUNCTION("""COMPUTED_VALUE"""),11578)</f>
        <v>11578</v>
      </c>
    </row>
    <row r="758" spans="1:6" ht="86.25" customHeight="1" x14ac:dyDescent="0.2">
      <c r="A758" s="4"/>
      <c r="B758" s="4"/>
      <c r="C758" s="4"/>
      <c r="D758" s="4" t="str">
        <f ca="1">IFERROR(__xludf.DUMMYFUNCTION("""COMPUTED_VALUE"""),"ОЕМ")</f>
        <v>ОЕМ</v>
      </c>
      <c r="E758" s="4" t="str">
        <f ca="1">IFERROR(__xludf.DUMMYFUNCTION("""COMPUTED_VALUE"""),"#VALUE!")</f>
        <v>#VALUE!</v>
      </c>
      <c r="F758" s="5" t="str">
        <f ca="1">IFERROR(__xludf.DUMMYFUNCTION("""COMPUTED_VALUE"""),"#N/A")</f>
        <v>#N/A</v>
      </c>
    </row>
    <row r="759" spans="1:6" ht="86.25" customHeight="1" x14ac:dyDescent="0.2">
      <c r="A759" s="4" t="str">
        <f ca="1">IFERROR(__xludf.DUMMYFUNCTION("""COMPUTED_VALUE"""),"OEM для встраивания в комплекты")</f>
        <v>OEM для встраивания в комплекты</v>
      </c>
      <c r="B759" s="4" t="str">
        <f ca="1">IFERROR(__xludf.DUMMYFUNCTION("""COMPUTED_VALUE"""),"МИНИМУМ")</f>
        <v>МИНИМУМ</v>
      </c>
      <c r="C759" s="4" t="str">
        <f ca="1">IFERROR(__xludf.DUMMYFUNCTION("""COMPUTED_VALUE"""),"RTL15M-OEM")</f>
        <v>RTL15M-OEM</v>
      </c>
      <c r="D759" s="4" t="str">
        <f ca="1">IFERROR(__xludf.DUMMYFUNCTION("""COMPUTED_VALUE"""),"Mobile SMARTS: Магазин 15, МИНИМУМ - OEM для встраивания в комплекты /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возмож"&amp;"ности: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год")</f>
        <v>Mobile SMARTS: Магазин 15, МИНИМУМ - OEM для встраивания в комплекты /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759" s="4" t="str">
        <f ca="1">IFERROR(__xludf.DUMMYFUNCTION("""COMPUTED_VALUE"""),"Mobile SMARTS: Магазин 15, МИНИМУМ - OEM для встраивания в комплекты ")</f>
        <v xml:space="preserve">Mobile SMARTS: Магазин 15, МИНИМУМ - OEM для встраивания в комплекты </v>
      </c>
      <c r="F759" s="5">
        <f ca="1">IFERROR(__xludf.DUMMYFUNCTION("""COMPUTED_VALUE"""),3450)</f>
        <v>3450</v>
      </c>
    </row>
    <row r="760" spans="1:6" ht="86.25" customHeight="1" x14ac:dyDescent="0.2">
      <c r="A760" s="4" t="str">
        <f ca="1">IFERROR(__xludf.DUMMYFUNCTION("""COMPUTED_VALUE"""),"OEM для встраивания в комплекты")</f>
        <v>OEM для встраивания в комплекты</v>
      </c>
      <c r="B760" s="4" t="str">
        <f ca="1">IFERROR(__xludf.DUMMYFUNCTION("""COMPUTED_VALUE"""),"БАЗОВЫЙ")</f>
        <v>БАЗОВЫЙ</v>
      </c>
      <c r="C760" s="4" t="str">
        <f ca="1">IFERROR(__xludf.DUMMYFUNCTION("""COMPUTED_VALUE"""),"RTL15A-OEM")</f>
        <v>RTL15A-OEM</v>
      </c>
      <c r="D760" s="4" t="str">
        <f ca="1">IFERROR(__xludf.DUMMYFUNCTION("""COMPUTED_VALUE"""),"Mobile SMARTS: Магазин 15, БАЗОВЫЙ - OEM для встраивания в комплекты /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мобильны"&amp;"й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св"&amp;"ои операции / бессрочная лицензия на 1 (одно) моб. устройство, подписка на обновления на 1 (один) год")</f>
        <v>Mobile SMARTS: Магазин 15, БАЗОВЫЙ - OEM для встраивания в комплекты /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60" s="4" t="str">
        <f ca="1">IFERROR(__xludf.DUMMYFUNCTION("""COMPUTED_VALUE"""),"Mobile SMARTS: Магазин 15, БАЗОВЫЙ - OEM для встраивания в комплекты ")</f>
        <v xml:space="preserve">Mobile SMARTS: Магазин 15, БАЗОВЫЙ - OEM для встраивания в комплекты </v>
      </c>
      <c r="F760" s="5">
        <f ca="1">IFERROR(__xludf.DUMMYFUNCTION("""COMPUTED_VALUE"""),8650)</f>
        <v>8650</v>
      </c>
    </row>
    <row r="761" spans="1:6" ht="86.25" customHeight="1" x14ac:dyDescent="0.2">
      <c r="A761" s="4"/>
      <c r="B761" s="4"/>
      <c r="C761" s="4"/>
      <c r="D761" s="4"/>
      <c r="E761" s="4"/>
      <c r="F761" s="4"/>
    </row>
    <row r="762" spans="1:6" ht="86.25" customHeight="1" x14ac:dyDescent="0.2">
      <c r="A762" s="4"/>
      <c r="B762" s="4"/>
      <c r="C762" s="4"/>
      <c r="D762" s="4"/>
      <c r="E762" s="4"/>
      <c r="F762" s="4"/>
    </row>
    <row r="763" spans="1:6" ht="86.25" customHeight="1" x14ac:dyDescent="0.2">
      <c r="A763" s="4"/>
      <c r="B763" s="4"/>
      <c r="C763" s="4"/>
      <c r="D763" s="4"/>
      <c r="E763" s="4"/>
      <c r="F763" s="4"/>
    </row>
    <row r="764" spans="1:6" ht="86.25" customHeight="1" x14ac:dyDescent="0.2">
      <c r="A764" s="4"/>
      <c r="B764" s="4"/>
      <c r="C764" s="4"/>
      <c r="D764" s="4"/>
      <c r="E764" s="4"/>
      <c r="F764" s="4"/>
    </row>
    <row r="765" spans="1:6" ht="86.25" customHeight="1" x14ac:dyDescent="0.2">
      <c r="A765" s="4"/>
      <c r="B765" s="4"/>
      <c r="C765" s="4"/>
      <c r="D765" s="4"/>
      <c r="E765" s="4"/>
      <c r="F765" s="4"/>
    </row>
    <row r="766" spans="1:6" ht="86.25" customHeight="1" x14ac:dyDescent="0.2">
      <c r="A766" s="4"/>
      <c r="B766" s="4"/>
      <c r="C766" s="4"/>
      <c r="D766" s="4"/>
      <c r="E766" s="4"/>
      <c r="F766" s="4"/>
    </row>
    <row r="767" spans="1:6" ht="86.25" customHeight="1" x14ac:dyDescent="0.2">
      <c r="A767" s="4"/>
      <c r="B767" s="4"/>
      <c r="C767" s="4"/>
      <c r="D767" s="4"/>
      <c r="E767" s="4"/>
      <c r="F767" s="4"/>
    </row>
    <row r="768" spans="1:6" ht="86.25" customHeight="1" x14ac:dyDescent="0.2">
      <c r="A768" s="4"/>
      <c r="B768" s="4"/>
      <c r="C768" s="4"/>
      <c r="D768" s="4"/>
      <c r="E768" s="4"/>
      <c r="F768" s="4"/>
    </row>
    <row r="769" spans="1:6" ht="86.25" customHeight="1" x14ac:dyDescent="0.2">
      <c r="A769" s="4"/>
      <c r="B769" s="4"/>
      <c r="C769" s="4"/>
      <c r="D769" s="4"/>
      <c r="E769" s="4"/>
      <c r="F769" s="4"/>
    </row>
    <row r="770" spans="1:6" ht="86.25" customHeight="1" x14ac:dyDescent="0.2">
      <c r="A770" s="4"/>
      <c r="B770" s="4"/>
      <c r="C770" s="4"/>
      <c r="D770" s="4"/>
      <c r="E770" s="4"/>
      <c r="F770" s="4"/>
    </row>
    <row r="771" spans="1:6" ht="86.25" customHeight="1" x14ac:dyDescent="0.2">
      <c r="A771" s="4"/>
      <c r="B771" s="4"/>
      <c r="C771" s="4"/>
      <c r="D771" s="4"/>
      <c r="E771" s="4"/>
      <c r="F771" s="4"/>
    </row>
    <row r="772" spans="1:6" ht="86.25" customHeight="1" x14ac:dyDescent="0.2">
      <c r="A772" s="4"/>
      <c r="B772" s="4"/>
      <c r="C772" s="4"/>
      <c r="D772" s="4"/>
      <c r="E772" s="4"/>
      <c r="F772" s="4"/>
    </row>
    <row r="773" spans="1:6" ht="86.25" customHeight="1" x14ac:dyDescent="0.2">
      <c r="A773" s="4"/>
      <c r="B773" s="4"/>
      <c r="C773" s="4"/>
      <c r="D773" s="4"/>
      <c r="E773" s="4"/>
      <c r="F773" s="4"/>
    </row>
    <row r="774" spans="1:6" ht="86.25" customHeight="1" x14ac:dyDescent="0.2">
      <c r="A774" s="4"/>
      <c r="B774" s="4"/>
      <c r="C774" s="4"/>
      <c r="D774" s="4"/>
      <c r="E774" s="4"/>
      <c r="F774" s="4"/>
    </row>
    <row r="775" spans="1:6" ht="86.25" customHeight="1" x14ac:dyDescent="0.2">
      <c r="A775" s="4"/>
      <c r="B775" s="4"/>
      <c r="C775" s="4"/>
      <c r="D775" s="4"/>
      <c r="E775" s="4"/>
      <c r="F775" s="4"/>
    </row>
    <row r="776" spans="1:6" ht="86.25" customHeight="1" x14ac:dyDescent="0.2">
      <c r="A776" s="4"/>
      <c r="B776" s="4"/>
      <c r="C776" s="4"/>
      <c r="D776" s="4"/>
      <c r="E776" s="4"/>
      <c r="F776" s="4"/>
    </row>
    <row r="777" spans="1:6" ht="86.25" customHeight="1" x14ac:dyDescent="0.2">
      <c r="A777" s="4"/>
      <c r="B777" s="4"/>
      <c r="C777" s="4"/>
      <c r="D777" s="4"/>
      <c r="E777" s="4"/>
      <c r="F777" s="4"/>
    </row>
    <row r="778" spans="1:6" ht="86.25" customHeight="1" x14ac:dyDescent="0.2">
      <c r="A778" s="4"/>
      <c r="B778" s="4"/>
      <c r="C778" s="4"/>
      <c r="D778" s="4"/>
      <c r="E778" s="4"/>
      <c r="F778" s="4"/>
    </row>
    <row r="779" spans="1:6" ht="86.25" customHeight="1" x14ac:dyDescent="0.2">
      <c r="A779" s="4"/>
      <c r="B779" s="4"/>
      <c r="C779" s="4"/>
      <c r="D779" s="4"/>
      <c r="E779" s="4"/>
      <c r="F779" s="4"/>
    </row>
    <row r="780" spans="1:6" ht="86.25" customHeight="1" x14ac:dyDescent="0.2">
      <c r="A780" s="4"/>
      <c r="B780" s="4"/>
      <c r="C780" s="4"/>
      <c r="D780" s="4"/>
      <c r="E780" s="4"/>
      <c r="F780" s="4"/>
    </row>
    <row r="781" spans="1:6" ht="86.25" customHeight="1" x14ac:dyDescent="0.2">
      <c r="A781" s="4"/>
      <c r="B781" s="4"/>
      <c r="C781" s="4"/>
      <c r="D781" s="4"/>
      <c r="E781" s="4"/>
      <c r="F781" s="4"/>
    </row>
    <row r="782" spans="1:6" ht="86.25" customHeight="1" x14ac:dyDescent="0.2">
      <c r="A782" s="4"/>
      <c r="B782" s="4"/>
      <c r="C782" s="4"/>
      <c r="D782" s="4"/>
      <c r="E782" s="4"/>
      <c r="F782" s="4"/>
    </row>
    <row r="783" spans="1:6" ht="86.25" customHeight="1" x14ac:dyDescent="0.2">
      <c r="A783" s="4"/>
      <c r="B783" s="4"/>
      <c r="C783" s="4"/>
      <c r="D783" s="4"/>
      <c r="E783" s="4"/>
      <c r="F783" s="4"/>
    </row>
    <row r="784" spans="1:6" ht="86.25" customHeight="1" x14ac:dyDescent="0.2">
      <c r="A784" s="4"/>
      <c r="B784" s="4"/>
      <c r="C784" s="4"/>
      <c r="D784" s="4"/>
      <c r="E784" s="4"/>
      <c r="F784" s="4"/>
    </row>
    <row r="785" spans="1:6" ht="86.25" customHeight="1" x14ac:dyDescent="0.2">
      <c r="A785" s="4"/>
      <c r="B785" s="4"/>
      <c r="C785" s="4"/>
      <c r="D785" s="4"/>
      <c r="E785" s="4"/>
      <c r="F785" s="4"/>
    </row>
    <row r="786" spans="1:6" ht="86.25" customHeight="1" x14ac:dyDescent="0.2">
      <c r="A786" s="4"/>
      <c r="B786" s="4"/>
      <c r="C786" s="4"/>
      <c r="D786" s="4"/>
      <c r="E786" s="4"/>
      <c r="F786" s="4"/>
    </row>
    <row r="787" spans="1:6" ht="86.25" customHeight="1" x14ac:dyDescent="0.2">
      <c r="A787" s="4"/>
      <c r="B787" s="4"/>
      <c r="C787" s="4"/>
      <c r="D787" s="4"/>
      <c r="E787" s="4"/>
      <c r="F787" s="4"/>
    </row>
    <row r="788" spans="1:6" ht="86.25" customHeight="1" x14ac:dyDescent="0.2">
      <c r="A788" s="4"/>
      <c r="B788" s="4"/>
      <c r="C788" s="4"/>
      <c r="D788" s="4"/>
      <c r="E788" s="4"/>
      <c r="F788" s="4"/>
    </row>
    <row r="789" spans="1:6" ht="86.25" customHeight="1" x14ac:dyDescent="0.2">
      <c r="A789" s="4"/>
      <c r="B789" s="4"/>
      <c r="C789" s="4"/>
      <c r="D789" s="4"/>
      <c r="E789" s="4"/>
      <c r="F789" s="4"/>
    </row>
    <row r="790" spans="1:6" ht="86.25" customHeight="1" x14ac:dyDescent="0.2">
      <c r="A790" s="4"/>
      <c r="B790" s="4"/>
      <c r="C790" s="4"/>
      <c r="D790" s="4"/>
      <c r="E790" s="4"/>
      <c r="F790" s="4"/>
    </row>
    <row r="791" spans="1:6" ht="86.25" customHeight="1" x14ac:dyDescent="0.2">
      <c r="A791" s="4"/>
      <c r="B791" s="4"/>
      <c r="C791" s="4"/>
      <c r="D791" s="4"/>
      <c r="E791" s="4"/>
      <c r="F791" s="4"/>
    </row>
    <row r="792" spans="1:6" ht="86.25" customHeight="1" x14ac:dyDescent="0.2">
      <c r="A792" s="4"/>
      <c r="B792" s="4"/>
      <c r="C792" s="4"/>
      <c r="D792" s="4"/>
      <c r="E792" s="4"/>
      <c r="F792" s="4"/>
    </row>
    <row r="793" spans="1:6" ht="86.25" customHeight="1" x14ac:dyDescent="0.2">
      <c r="A793" s="4"/>
      <c r="B793" s="4"/>
      <c r="C793" s="4"/>
      <c r="D793" s="4"/>
      <c r="E793" s="4"/>
      <c r="F793" s="4"/>
    </row>
    <row r="794" spans="1:6" ht="86.25" customHeight="1" x14ac:dyDescent="0.2">
      <c r="A794" s="4"/>
      <c r="B794" s="4"/>
      <c r="C794" s="4"/>
      <c r="D794" s="4"/>
      <c r="E794" s="4"/>
      <c r="F794" s="4"/>
    </row>
    <row r="795" spans="1:6" ht="86.25" customHeight="1" x14ac:dyDescent="0.2">
      <c r="A795" s="4"/>
      <c r="B795" s="4"/>
      <c r="C795" s="4"/>
      <c r="D795" s="4"/>
      <c r="E795" s="4"/>
      <c r="F795" s="4"/>
    </row>
    <row r="796" spans="1:6" ht="86.25" customHeight="1" x14ac:dyDescent="0.2">
      <c r="A796" s="4"/>
      <c r="B796" s="4"/>
      <c r="C796" s="4"/>
      <c r="D796" s="4"/>
      <c r="E796" s="4"/>
      <c r="F796" s="4"/>
    </row>
    <row r="797" spans="1:6" ht="86.25" customHeight="1" x14ac:dyDescent="0.2">
      <c r="A797" s="4"/>
      <c r="B797" s="4"/>
      <c r="C797" s="4"/>
      <c r="D797" s="4"/>
      <c r="E797" s="4"/>
      <c r="F797" s="4"/>
    </row>
    <row r="798" spans="1:6" ht="86.25" customHeight="1" x14ac:dyDescent="0.2">
      <c r="A798" s="4"/>
      <c r="B798" s="4"/>
      <c r="C798" s="4"/>
      <c r="D798" s="4"/>
      <c r="E798" s="4"/>
      <c r="F798" s="4"/>
    </row>
    <row r="799" spans="1:6" ht="86.25" customHeight="1" x14ac:dyDescent="0.2">
      <c r="A799" s="4"/>
      <c r="B799" s="4"/>
      <c r="C799" s="4"/>
      <c r="D799" s="4"/>
      <c r="E799" s="4"/>
      <c r="F799" s="4"/>
    </row>
    <row r="800" spans="1:6" ht="86.25" customHeight="1" x14ac:dyDescent="0.2">
      <c r="A800" s="4"/>
      <c r="B800" s="4"/>
      <c r="C800" s="4"/>
      <c r="D800" s="4"/>
      <c r="E800" s="4"/>
      <c r="F800" s="4"/>
    </row>
    <row r="801" spans="1:6" ht="86.25" customHeight="1" x14ac:dyDescent="0.2">
      <c r="A801" s="4"/>
      <c r="B801" s="4"/>
      <c r="C801" s="4"/>
      <c r="D801" s="4"/>
      <c r="E801" s="4"/>
      <c r="F801" s="4"/>
    </row>
    <row r="802" spans="1:6" ht="86.25" customHeight="1" x14ac:dyDescent="0.2">
      <c r="A802" s="4"/>
      <c r="B802" s="4"/>
      <c r="C802" s="4"/>
      <c r="D802" s="4"/>
      <c r="E802" s="4"/>
      <c r="F802" s="4"/>
    </row>
    <row r="803" spans="1:6" ht="86.25" customHeight="1" x14ac:dyDescent="0.2">
      <c r="A803" s="4"/>
      <c r="B803" s="4"/>
      <c r="C803" s="4"/>
      <c r="D803" s="4"/>
      <c r="E803" s="4"/>
      <c r="F803" s="4"/>
    </row>
    <row r="804" spans="1:6" ht="86.25" customHeight="1" x14ac:dyDescent="0.2">
      <c r="A804" s="4"/>
      <c r="B804" s="4"/>
      <c r="C804" s="4"/>
      <c r="D804" s="4"/>
      <c r="E804" s="4"/>
      <c r="F804" s="4"/>
    </row>
    <row r="805" spans="1:6" ht="86.25" customHeight="1" x14ac:dyDescent="0.2">
      <c r="A805" s="4"/>
      <c r="B805" s="4"/>
      <c r="C805" s="4"/>
      <c r="D805" s="4"/>
      <c r="E805" s="4"/>
      <c r="F805" s="4"/>
    </row>
    <row r="806" spans="1:6" ht="86.25" customHeight="1" x14ac:dyDescent="0.2">
      <c r="A806" s="4"/>
      <c r="B806" s="4"/>
      <c r="C806" s="4"/>
      <c r="D806" s="4"/>
      <c r="E806" s="4"/>
      <c r="F806" s="4"/>
    </row>
    <row r="807" spans="1:6" ht="86.25" customHeight="1" x14ac:dyDescent="0.2">
      <c r="A807" s="4"/>
      <c r="B807" s="4"/>
      <c r="C807" s="4"/>
      <c r="D807" s="4"/>
      <c r="E807" s="4"/>
      <c r="F807" s="4"/>
    </row>
    <row r="808" spans="1:6" ht="86.25" customHeight="1" x14ac:dyDescent="0.2">
      <c r="A808" s="4"/>
      <c r="B808" s="4"/>
      <c r="C808" s="4"/>
      <c r="D808" s="4"/>
      <c r="E808" s="4"/>
      <c r="F808" s="4"/>
    </row>
    <row r="809" spans="1:6" ht="86.25" customHeight="1" x14ac:dyDescent="0.2">
      <c r="A809" s="4"/>
      <c r="B809" s="4"/>
      <c r="C809" s="4"/>
      <c r="D809" s="4"/>
      <c r="E809" s="4"/>
      <c r="F809" s="4"/>
    </row>
    <row r="810" spans="1:6" ht="86.25" customHeight="1" x14ac:dyDescent="0.2">
      <c r="A810" s="4"/>
      <c r="B810" s="4"/>
      <c r="C810" s="4"/>
      <c r="D810" s="4"/>
      <c r="E810" s="4"/>
      <c r="F810" s="4"/>
    </row>
    <row r="811" spans="1:6" ht="86.25" customHeight="1" x14ac:dyDescent="0.2">
      <c r="A811" s="4"/>
      <c r="B811" s="4"/>
      <c r="C811" s="4"/>
      <c r="D811" s="4"/>
      <c r="E811" s="4"/>
      <c r="F811" s="4"/>
    </row>
    <row r="812" spans="1:6" ht="86.25" customHeight="1" x14ac:dyDescent="0.2">
      <c r="A812" s="4"/>
      <c r="B812" s="4"/>
      <c r="C812" s="4"/>
      <c r="D812" s="4"/>
      <c r="E812" s="4"/>
      <c r="F812" s="4"/>
    </row>
    <row r="813" spans="1:6" ht="86.25" customHeight="1" x14ac:dyDescent="0.2">
      <c r="A813" s="4"/>
      <c r="B813" s="4"/>
      <c r="C813" s="4"/>
      <c r="D813" s="4"/>
      <c r="E813" s="4"/>
      <c r="F813" s="4"/>
    </row>
    <row r="814" spans="1:6" ht="86.25" customHeight="1" x14ac:dyDescent="0.2">
      <c r="A814" s="4"/>
      <c r="B814" s="4"/>
      <c r="C814" s="4"/>
      <c r="D814" s="4"/>
      <c r="E814" s="4"/>
      <c r="F814" s="4"/>
    </row>
    <row r="815" spans="1:6" ht="86.25" customHeight="1" x14ac:dyDescent="0.2">
      <c r="A815" s="4"/>
      <c r="B815" s="4"/>
      <c r="C815" s="4"/>
      <c r="D815" s="4"/>
      <c r="E815" s="4"/>
      <c r="F815" s="4"/>
    </row>
    <row r="816" spans="1:6" ht="86.25" customHeight="1" x14ac:dyDescent="0.2">
      <c r="A816" s="4"/>
      <c r="B816" s="4"/>
      <c r="C816" s="4"/>
      <c r="D816" s="4"/>
      <c r="E816" s="4"/>
      <c r="F816" s="4"/>
    </row>
    <row r="817" spans="1:6" ht="86.25" customHeight="1" x14ac:dyDescent="0.2">
      <c r="A817" s="4"/>
      <c r="B817" s="4"/>
      <c r="C817" s="4"/>
      <c r="D817" s="4"/>
      <c r="E817" s="4"/>
      <c r="F817" s="4"/>
    </row>
    <row r="818" spans="1:6" ht="86.25" customHeight="1" x14ac:dyDescent="0.2">
      <c r="A818" s="4"/>
      <c r="B818" s="4"/>
      <c r="C818" s="4"/>
      <c r="D818" s="4"/>
      <c r="E818" s="4"/>
      <c r="F818" s="4"/>
    </row>
    <row r="819" spans="1:6" ht="86.25" customHeight="1" x14ac:dyDescent="0.2">
      <c r="A819" s="4"/>
      <c r="B819" s="4"/>
      <c r="C819" s="4"/>
      <c r="D819" s="4"/>
      <c r="E819" s="4"/>
      <c r="F819" s="4"/>
    </row>
    <row r="820" spans="1:6" ht="86.25" customHeight="1" x14ac:dyDescent="0.2">
      <c r="A820" s="4"/>
      <c r="B820" s="4"/>
      <c r="C820" s="4"/>
      <c r="D820" s="4"/>
      <c r="E820" s="4"/>
      <c r="F820" s="4"/>
    </row>
    <row r="821" spans="1:6" ht="86.25" customHeight="1" x14ac:dyDescent="0.2">
      <c r="A821" s="4"/>
      <c r="B821" s="4"/>
      <c r="C821" s="4"/>
      <c r="D821" s="4"/>
      <c r="E821" s="4"/>
      <c r="F821" s="4"/>
    </row>
    <row r="822" spans="1:6" ht="86.25" customHeight="1" x14ac:dyDescent="0.2">
      <c r="A822" s="4"/>
      <c r="B822" s="4"/>
      <c r="C822" s="4"/>
      <c r="D822" s="4"/>
      <c r="E822" s="4"/>
      <c r="F822" s="4"/>
    </row>
    <row r="823" spans="1:6" ht="86.25" customHeight="1" x14ac:dyDescent="0.2">
      <c r="A823" s="4"/>
      <c r="B823" s="4"/>
      <c r="C823" s="4"/>
      <c r="D823" s="4"/>
      <c r="E823" s="4"/>
      <c r="F823" s="4"/>
    </row>
    <row r="824" spans="1:6" ht="86.25" customHeight="1" x14ac:dyDescent="0.2">
      <c r="A824" s="4"/>
      <c r="B824" s="4"/>
      <c r="C824" s="4"/>
      <c r="D824" s="4"/>
      <c r="E824" s="4"/>
      <c r="F824" s="4"/>
    </row>
    <row r="825" spans="1:6" ht="86.25" customHeight="1" x14ac:dyDescent="0.2">
      <c r="A825" s="4"/>
      <c r="B825" s="4"/>
      <c r="C825" s="4"/>
      <c r="D825" s="4"/>
      <c r="E825" s="4"/>
      <c r="F825" s="4"/>
    </row>
    <row r="826" spans="1:6" ht="86.25" customHeight="1" x14ac:dyDescent="0.2">
      <c r="A826" s="4"/>
      <c r="B826" s="4"/>
      <c r="C826" s="4"/>
      <c r="D826" s="4"/>
      <c r="E826" s="4"/>
      <c r="F826" s="4"/>
    </row>
    <row r="827" spans="1:6" ht="86.25" customHeight="1" x14ac:dyDescent="0.2">
      <c r="A827" s="4"/>
      <c r="B827" s="4"/>
      <c r="C827" s="4"/>
      <c r="D827" s="4"/>
      <c r="E827" s="4"/>
      <c r="F827" s="4"/>
    </row>
    <row r="828" spans="1:6" ht="86.25" customHeight="1" x14ac:dyDescent="0.2">
      <c r="A828" s="4"/>
      <c r="B828" s="4"/>
      <c r="C828" s="4"/>
      <c r="D828" s="4"/>
      <c r="E828" s="4"/>
      <c r="F828" s="4"/>
    </row>
    <row r="829" spans="1:6" ht="86.25" customHeight="1" x14ac:dyDescent="0.2">
      <c r="A829" s="4"/>
      <c r="B829" s="4"/>
      <c r="C829" s="4"/>
      <c r="D829" s="4"/>
      <c r="E829" s="4"/>
      <c r="F829" s="4"/>
    </row>
    <row r="830" spans="1:6" ht="86.25" customHeight="1" x14ac:dyDescent="0.2">
      <c r="A830" s="4"/>
      <c r="B830" s="4"/>
      <c r="C830" s="4"/>
      <c r="D830" s="4"/>
      <c r="E830" s="4"/>
      <c r="F830" s="4"/>
    </row>
    <row r="831" spans="1:6" ht="86.25" customHeight="1" x14ac:dyDescent="0.2">
      <c r="A831" s="4"/>
      <c r="B831" s="4"/>
      <c r="C831" s="4"/>
      <c r="D831" s="4"/>
      <c r="E831" s="4"/>
      <c r="F831" s="4"/>
    </row>
    <row r="832" spans="1:6" ht="86.25" customHeight="1" x14ac:dyDescent="0.2">
      <c r="A832" s="4"/>
      <c r="B832" s="4"/>
      <c r="C832" s="4"/>
      <c r="D832" s="4"/>
      <c r="E832" s="4"/>
      <c r="F832" s="4"/>
    </row>
    <row r="833" spans="1:6" ht="86.25" customHeight="1" x14ac:dyDescent="0.2">
      <c r="A833" s="4"/>
      <c r="B833" s="4"/>
      <c r="C833" s="4"/>
      <c r="D833" s="4"/>
      <c r="E833" s="4"/>
      <c r="F833" s="4"/>
    </row>
    <row r="834" spans="1:6" ht="86.25" customHeight="1" x14ac:dyDescent="0.2">
      <c r="A834" s="4"/>
      <c r="B834" s="4"/>
      <c r="C834" s="4"/>
      <c r="D834" s="4"/>
      <c r="E834" s="4"/>
      <c r="F834" s="4"/>
    </row>
    <row r="835" spans="1:6" ht="86.25" customHeight="1" x14ac:dyDescent="0.2">
      <c r="A835" s="4"/>
      <c r="B835" s="4"/>
      <c r="C835" s="4"/>
      <c r="D835" s="4"/>
      <c r="E835" s="4"/>
      <c r="F835" s="4"/>
    </row>
    <row r="836" spans="1:6" ht="86.25" customHeight="1" x14ac:dyDescent="0.2">
      <c r="A836" s="4"/>
      <c r="B836" s="4"/>
      <c r="C836" s="4"/>
      <c r="D836" s="4"/>
      <c r="E836" s="4"/>
      <c r="F836" s="4"/>
    </row>
    <row r="837" spans="1:6" ht="86.25" customHeight="1" x14ac:dyDescent="0.2">
      <c r="A837" s="4"/>
      <c r="B837" s="4"/>
      <c r="C837" s="4"/>
      <c r="D837" s="4"/>
      <c r="E837" s="4"/>
      <c r="F837" s="4"/>
    </row>
    <row r="838" spans="1:6" ht="86.25" customHeight="1" x14ac:dyDescent="0.2">
      <c r="A838" s="4"/>
      <c r="B838" s="4"/>
      <c r="C838" s="4"/>
      <c r="D838" s="4"/>
      <c r="E838" s="4"/>
      <c r="F838" s="4"/>
    </row>
    <row r="839" spans="1:6" ht="86.25" customHeight="1" x14ac:dyDescent="0.2">
      <c r="A839" s="4"/>
      <c r="B839" s="4"/>
      <c r="C839" s="4"/>
      <c r="D839" s="4"/>
      <c r="E839" s="4"/>
      <c r="F839" s="4"/>
    </row>
    <row r="840" spans="1:6" ht="86.25" customHeight="1" x14ac:dyDescent="0.2">
      <c r="A840" s="4"/>
      <c r="B840" s="4"/>
      <c r="C840" s="4"/>
      <c r="D840" s="4"/>
      <c r="E840" s="4"/>
      <c r="F840" s="4"/>
    </row>
    <row r="841" spans="1:6" ht="86.25" customHeight="1" x14ac:dyDescent="0.2">
      <c r="A841" s="4"/>
      <c r="B841" s="4"/>
      <c r="C841" s="4"/>
      <c r="D841" s="4"/>
      <c r="E841" s="4"/>
      <c r="F841" s="4"/>
    </row>
    <row r="842" spans="1:6" ht="86.25" customHeight="1" x14ac:dyDescent="0.2">
      <c r="A842" s="4"/>
      <c r="B842" s="4"/>
      <c r="C842" s="4"/>
      <c r="D842" s="4"/>
      <c r="E842" s="4"/>
      <c r="F842" s="4"/>
    </row>
    <row r="843" spans="1:6" ht="86.25" customHeight="1" x14ac:dyDescent="0.2">
      <c r="A843" s="4"/>
      <c r="B843" s="4"/>
      <c r="C843" s="4"/>
      <c r="D843" s="4"/>
      <c r="E843" s="4"/>
      <c r="F843" s="4"/>
    </row>
    <row r="844" spans="1:6" ht="86.25" customHeight="1" x14ac:dyDescent="0.2">
      <c r="A844" s="4"/>
      <c r="B844" s="4"/>
      <c r="C844" s="4"/>
      <c r="D844" s="4"/>
      <c r="E844" s="4"/>
      <c r="F844" s="4"/>
    </row>
    <row r="845" spans="1:6" ht="86.25" customHeight="1" x14ac:dyDescent="0.2">
      <c r="A845" s="4"/>
      <c r="B845" s="4"/>
      <c r="C845" s="4"/>
      <c r="D845" s="4"/>
      <c r="E845" s="4"/>
      <c r="F845" s="4"/>
    </row>
    <row r="846" spans="1:6" ht="86.25" customHeight="1" x14ac:dyDescent="0.2">
      <c r="A846" s="4"/>
      <c r="B846" s="4"/>
      <c r="C846" s="4"/>
      <c r="D846" s="4"/>
      <c r="E846" s="4"/>
      <c r="F846" s="4"/>
    </row>
    <row r="847" spans="1:6" ht="86.25" customHeight="1" x14ac:dyDescent="0.2">
      <c r="A847" s="4"/>
      <c r="B847" s="4"/>
      <c r="C847" s="4"/>
      <c r="D847" s="4"/>
      <c r="E847" s="4"/>
      <c r="F847" s="4"/>
    </row>
    <row r="848" spans="1:6" ht="86.25" customHeight="1" x14ac:dyDescent="0.2">
      <c r="A848" s="4"/>
      <c r="B848" s="4"/>
      <c r="C848" s="4"/>
      <c r="D848" s="4"/>
      <c r="E848" s="4"/>
      <c r="F848" s="4"/>
    </row>
    <row r="849" spans="1:6" ht="86.25" customHeight="1" x14ac:dyDescent="0.2">
      <c r="A849" s="4"/>
      <c r="B849" s="4"/>
      <c r="C849" s="4"/>
      <c r="D849" s="4"/>
      <c r="E849" s="4"/>
      <c r="F849" s="4"/>
    </row>
    <row r="850" spans="1:6" ht="86.25" customHeight="1" x14ac:dyDescent="0.2">
      <c r="A850" s="4"/>
      <c r="B850" s="4"/>
      <c r="C850" s="4"/>
      <c r="D850" s="4"/>
      <c r="E850" s="4"/>
      <c r="F850" s="4"/>
    </row>
    <row r="851" spans="1:6" ht="86.25" customHeight="1" x14ac:dyDescent="0.2">
      <c r="A851" s="4"/>
      <c r="B851" s="4"/>
      <c r="C851" s="4"/>
      <c r="D851" s="4"/>
      <c r="E851" s="4"/>
      <c r="F851" s="4"/>
    </row>
    <row r="852" spans="1:6" ht="86.25" customHeight="1" x14ac:dyDescent="0.2">
      <c r="A852" s="4"/>
      <c r="B852" s="4"/>
      <c r="C852" s="4"/>
      <c r="D852" s="4"/>
      <c r="E852" s="4"/>
      <c r="F852" s="4"/>
    </row>
    <row r="853" spans="1:6" ht="86.25" customHeight="1" x14ac:dyDescent="0.2">
      <c r="A853" s="4"/>
      <c r="B853" s="4"/>
      <c r="C853" s="4"/>
      <c r="D853" s="4"/>
      <c r="E853" s="4"/>
      <c r="F853" s="4"/>
    </row>
    <row r="854" spans="1:6" ht="86.25" customHeight="1" x14ac:dyDescent="0.2">
      <c r="A854" s="4"/>
      <c r="B854" s="4"/>
      <c r="C854" s="4"/>
      <c r="D854" s="4"/>
      <c r="E854" s="4"/>
      <c r="F854" s="4"/>
    </row>
    <row r="855" spans="1:6" ht="86.25" customHeight="1" x14ac:dyDescent="0.2">
      <c r="A855" s="4"/>
      <c r="B855" s="4"/>
      <c r="C855" s="4"/>
      <c r="D855" s="4"/>
      <c r="E855" s="4"/>
      <c r="F855" s="4"/>
    </row>
    <row r="856" spans="1:6" ht="86.25" customHeight="1" x14ac:dyDescent="0.2">
      <c r="A856" s="4"/>
      <c r="B856" s="4"/>
      <c r="C856" s="4"/>
      <c r="D856" s="4"/>
      <c r="E856" s="4"/>
      <c r="F856" s="4"/>
    </row>
    <row r="857" spans="1:6" ht="86.25" customHeight="1" x14ac:dyDescent="0.2">
      <c r="A857" s="4"/>
      <c r="B857" s="4"/>
      <c r="C857" s="4"/>
      <c r="D857" s="4"/>
      <c r="E857" s="4"/>
      <c r="F857" s="4"/>
    </row>
    <row r="858" spans="1:6" ht="86.25" customHeight="1" x14ac:dyDescent="0.2">
      <c r="A858" s="4"/>
      <c r="B858" s="4"/>
      <c r="C858" s="4"/>
      <c r="D858" s="4"/>
      <c r="E858" s="4"/>
      <c r="F858" s="4"/>
    </row>
    <row r="859" spans="1:6" ht="86.25" customHeight="1" x14ac:dyDescent="0.2">
      <c r="A859" s="4"/>
      <c r="B859" s="4"/>
      <c r="C859" s="4"/>
      <c r="D859" s="4"/>
      <c r="E859" s="4"/>
      <c r="F859" s="4"/>
    </row>
    <row r="860" spans="1:6" ht="86.25" customHeight="1" x14ac:dyDescent="0.2">
      <c r="A860" s="4"/>
      <c r="B860" s="4"/>
      <c r="C860" s="4"/>
      <c r="D860" s="4"/>
      <c r="E860" s="4"/>
      <c r="F860" s="4"/>
    </row>
    <row r="861" spans="1:6" ht="86.25" customHeight="1" x14ac:dyDescent="0.2">
      <c r="A861" s="4"/>
      <c r="B861" s="4"/>
      <c r="C861" s="4"/>
      <c r="D861" s="4"/>
      <c r="E861" s="4"/>
      <c r="F861" s="4"/>
    </row>
    <row r="862" spans="1:6" ht="86.25" customHeight="1" x14ac:dyDescent="0.2">
      <c r="A862" s="4"/>
      <c r="B862" s="4"/>
      <c r="C862" s="4"/>
      <c r="D862" s="4"/>
      <c r="E862" s="4"/>
      <c r="F862" s="4"/>
    </row>
    <row r="863" spans="1:6" ht="86.25" customHeight="1" x14ac:dyDescent="0.2">
      <c r="A863" s="4"/>
      <c r="B863" s="4"/>
      <c r="C863" s="4"/>
      <c r="D863" s="4"/>
      <c r="E863" s="4"/>
      <c r="F863" s="4"/>
    </row>
    <row r="864" spans="1:6" ht="86.25" customHeight="1" x14ac:dyDescent="0.2">
      <c r="A864" s="4"/>
      <c r="B864" s="4"/>
      <c r="C864" s="4"/>
      <c r="D864" s="4"/>
      <c r="E864" s="4"/>
      <c r="F864" s="4"/>
    </row>
    <row r="865" spans="1:6" ht="86.25" customHeight="1" x14ac:dyDescent="0.2">
      <c r="A865" s="4"/>
      <c r="B865" s="4"/>
      <c r="C865" s="4"/>
      <c r="D865" s="4"/>
      <c r="E865" s="4"/>
      <c r="F865" s="4"/>
    </row>
    <row r="866" spans="1:6" ht="86.25" customHeight="1" x14ac:dyDescent="0.2">
      <c r="A866" s="4"/>
      <c r="B866" s="4"/>
      <c r="C866" s="4"/>
      <c r="D866" s="4"/>
      <c r="E866" s="4"/>
      <c r="F866" s="4"/>
    </row>
    <row r="867" spans="1:6" ht="86.25" customHeight="1" x14ac:dyDescent="0.2">
      <c r="A867" s="4"/>
      <c r="B867" s="4"/>
      <c r="C867" s="4"/>
      <c r="D867" s="4"/>
      <c r="E867" s="4"/>
      <c r="F867" s="4"/>
    </row>
    <row r="868" spans="1:6" ht="86.25" customHeight="1" x14ac:dyDescent="0.2">
      <c r="A868" s="4"/>
      <c r="B868" s="4"/>
      <c r="C868" s="4"/>
      <c r="D868" s="4"/>
      <c r="E868" s="4"/>
      <c r="F868" s="4"/>
    </row>
    <row r="869" spans="1:6" ht="86.25" customHeight="1" x14ac:dyDescent="0.2">
      <c r="A869" s="4"/>
      <c r="B869" s="4"/>
      <c r="C869" s="4"/>
      <c r="D869" s="4"/>
      <c r="E869" s="4"/>
      <c r="F869" s="4"/>
    </row>
    <row r="870" spans="1:6" ht="86.25" customHeight="1" x14ac:dyDescent="0.2">
      <c r="A870" s="4"/>
      <c r="B870" s="4"/>
      <c r="C870" s="4"/>
      <c r="D870" s="4"/>
      <c r="E870" s="4"/>
      <c r="F870" s="4"/>
    </row>
    <row r="871" spans="1:6" ht="86.25" customHeight="1" x14ac:dyDescent="0.2">
      <c r="A871" s="4"/>
      <c r="B871" s="4"/>
      <c r="C871" s="4"/>
      <c r="D871" s="4"/>
      <c r="E871" s="4"/>
      <c r="F871" s="4"/>
    </row>
    <row r="872" spans="1:6" ht="86.25" customHeight="1" x14ac:dyDescent="0.2">
      <c r="A872" s="4"/>
      <c r="B872" s="4"/>
      <c r="C872" s="4"/>
      <c r="D872" s="4"/>
      <c r="E872" s="4"/>
      <c r="F872" s="4"/>
    </row>
    <row r="873" spans="1:6" ht="86.25" customHeight="1" x14ac:dyDescent="0.2">
      <c r="A873" s="4"/>
      <c r="B873" s="4"/>
      <c r="C873" s="4"/>
      <c r="D873" s="4"/>
      <c r="E873" s="4"/>
      <c r="F873" s="4"/>
    </row>
    <row r="874" spans="1:6" ht="86.25" customHeight="1" x14ac:dyDescent="0.2">
      <c r="A874" s="4"/>
      <c r="B874" s="4"/>
      <c r="C874" s="4"/>
      <c r="D874" s="4"/>
      <c r="E874" s="4"/>
      <c r="F874" s="4"/>
    </row>
    <row r="875" spans="1:6" ht="86.25" customHeight="1" x14ac:dyDescent="0.2">
      <c r="A875" s="4"/>
      <c r="B875" s="4"/>
      <c r="C875" s="4"/>
      <c r="D875" s="4"/>
      <c r="E875" s="4"/>
      <c r="F875" s="4"/>
    </row>
    <row r="876" spans="1:6" ht="86.25" customHeight="1" x14ac:dyDescent="0.2">
      <c r="A876" s="4"/>
      <c r="B876" s="4"/>
      <c r="C876" s="4"/>
      <c r="D876" s="4"/>
      <c r="E876" s="4"/>
      <c r="F876" s="4"/>
    </row>
    <row r="877" spans="1:6" ht="86.25" customHeight="1" x14ac:dyDescent="0.2">
      <c r="A877" s="4"/>
      <c r="B877" s="4"/>
      <c r="C877" s="4"/>
      <c r="D877" s="4"/>
      <c r="E877" s="4"/>
      <c r="F877" s="4"/>
    </row>
    <row r="878" spans="1:6" ht="86.25" customHeight="1" x14ac:dyDescent="0.2">
      <c r="A878" s="4"/>
      <c r="B878" s="4"/>
      <c r="C878" s="4"/>
      <c r="D878" s="4"/>
      <c r="E878" s="4"/>
      <c r="F878" s="4"/>
    </row>
    <row r="879" spans="1:6" ht="86.25" customHeight="1" x14ac:dyDescent="0.2">
      <c r="A879" s="4"/>
      <c r="B879" s="4"/>
      <c r="C879" s="4"/>
      <c r="D879" s="4"/>
      <c r="E879" s="4"/>
      <c r="F879" s="4"/>
    </row>
    <row r="880" spans="1:6" ht="86.25" customHeight="1" x14ac:dyDescent="0.2">
      <c r="A880" s="4"/>
      <c r="B880" s="4"/>
      <c r="C880" s="4"/>
      <c r="D880" s="4"/>
      <c r="E880" s="4"/>
      <c r="F880" s="4"/>
    </row>
    <row r="881" spans="1:6" ht="86.25" customHeight="1" x14ac:dyDescent="0.2">
      <c r="A881" s="4"/>
      <c r="B881" s="4"/>
      <c r="C881" s="4"/>
      <c r="D881" s="4"/>
      <c r="E881" s="4"/>
      <c r="F881" s="4"/>
    </row>
    <row r="882" spans="1:6" ht="86.25" customHeight="1" x14ac:dyDescent="0.2">
      <c r="A882" s="4"/>
      <c r="B882" s="4"/>
      <c r="C882" s="4"/>
      <c r="D882" s="4"/>
      <c r="E882" s="4"/>
      <c r="F882" s="4"/>
    </row>
    <row r="883" spans="1:6" ht="86.25" customHeight="1" x14ac:dyDescent="0.2">
      <c r="A883" s="4"/>
      <c r="B883" s="4"/>
      <c r="C883" s="4"/>
      <c r="D883" s="4"/>
      <c r="E883" s="4"/>
      <c r="F883" s="4"/>
    </row>
    <row r="884" spans="1:6" ht="86.25" customHeight="1" x14ac:dyDescent="0.2">
      <c r="A884" s="4"/>
      <c r="B884" s="4"/>
      <c r="C884" s="4"/>
      <c r="D884" s="4"/>
      <c r="E884" s="4"/>
      <c r="F884" s="4"/>
    </row>
    <row r="885" spans="1:6" ht="86.25" customHeight="1" x14ac:dyDescent="0.2">
      <c r="A885" s="4"/>
      <c r="B885" s="4"/>
      <c r="C885" s="4"/>
      <c r="D885" s="4"/>
      <c r="E885" s="4"/>
      <c r="F885" s="4"/>
    </row>
    <row r="886" spans="1:6" ht="86.25" customHeight="1" x14ac:dyDescent="0.2">
      <c r="A886" s="4"/>
      <c r="B886" s="4"/>
      <c r="C886" s="4"/>
      <c r="D886" s="4"/>
      <c r="E886" s="4"/>
      <c r="F886" s="4"/>
    </row>
    <row r="887" spans="1:6" ht="86.25" customHeight="1" x14ac:dyDescent="0.2">
      <c r="A887" s="4"/>
      <c r="B887" s="4"/>
      <c r="C887" s="4"/>
      <c r="D887" s="4"/>
      <c r="E887" s="4"/>
      <c r="F887" s="4"/>
    </row>
    <row r="888" spans="1:6" ht="86.25" customHeight="1" x14ac:dyDescent="0.2">
      <c r="A888" s="4"/>
      <c r="B888" s="4"/>
      <c r="C888" s="4"/>
      <c r="D888" s="4"/>
      <c r="E888" s="4"/>
      <c r="F888" s="4"/>
    </row>
    <row r="889" spans="1:6" ht="86.25" customHeight="1" x14ac:dyDescent="0.2">
      <c r="A889" s="4"/>
      <c r="B889" s="4"/>
      <c r="C889" s="4"/>
      <c r="D889" s="4"/>
      <c r="E889" s="4"/>
      <c r="F889" s="4"/>
    </row>
    <row r="890" spans="1:6" ht="86.25" customHeight="1" x14ac:dyDescent="0.2">
      <c r="A890" s="4"/>
      <c r="B890" s="4"/>
      <c r="C890" s="4"/>
      <c r="D890" s="4"/>
      <c r="E890" s="4"/>
      <c r="F890" s="4"/>
    </row>
    <row r="891" spans="1:6" ht="86.25" customHeight="1" x14ac:dyDescent="0.2">
      <c r="A891" s="4"/>
      <c r="B891" s="4"/>
      <c r="C891" s="4"/>
      <c r="D891" s="4"/>
      <c r="E891" s="4"/>
      <c r="F891" s="4"/>
    </row>
    <row r="892" spans="1:6" ht="86.25" customHeight="1" x14ac:dyDescent="0.2">
      <c r="A892" s="4"/>
      <c r="B892" s="4"/>
      <c r="C892" s="4"/>
      <c r="D892" s="4"/>
      <c r="E892" s="4"/>
      <c r="F892" s="4"/>
    </row>
    <row r="893" spans="1:6" ht="86.25" customHeight="1" x14ac:dyDescent="0.2">
      <c r="A893" s="4"/>
      <c r="B893" s="4"/>
      <c r="C893" s="4"/>
      <c r="D893" s="4"/>
      <c r="E893" s="4"/>
      <c r="F893" s="4"/>
    </row>
    <row r="894" spans="1:6" ht="86.25" customHeight="1" x14ac:dyDescent="0.2">
      <c r="A894" s="4"/>
      <c r="B894" s="4"/>
      <c r="C894" s="4"/>
      <c r="D894" s="4"/>
      <c r="E894" s="4"/>
      <c r="F894" s="4"/>
    </row>
    <row r="895" spans="1:6" ht="86.25" customHeight="1" x14ac:dyDescent="0.2">
      <c r="A895" s="4"/>
      <c r="B895" s="4"/>
      <c r="C895" s="4"/>
      <c r="D895" s="4"/>
      <c r="E895" s="4"/>
      <c r="F895" s="4"/>
    </row>
    <row r="896" spans="1:6" ht="86.25" customHeight="1" x14ac:dyDescent="0.2">
      <c r="A896" s="4"/>
      <c r="B896" s="4"/>
      <c r="C896" s="4"/>
      <c r="D896" s="4"/>
      <c r="E896" s="4"/>
      <c r="F896" s="4"/>
    </row>
    <row r="897" spans="1:6" ht="86.25" customHeight="1" x14ac:dyDescent="0.2">
      <c r="A897" s="4"/>
      <c r="B897" s="4"/>
      <c r="C897" s="4"/>
      <c r="D897" s="4"/>
      <c r="E897" s="4"/>
      <c r="F897" s="4"/>
    </row>
    <row r="898" spans="1:6" ht="86.25" customHeight="1" x14ac:dyDescent="0.2">
      <c r="A898" s="4"/>
      <c r="B898" s="4"/>
      <c r="C898" s="4"/>
      <c r="D898" s="4"/>
      <c r="E898" s="4"/>
      <c r="F898" s="4"/>
    </row>
    <row r="899" spans="1:6" ht="86.25" customHeight="1" x14ac:dyDescent="0.2">
      <c r="A899" s="4"/>
      <c r="B899" s="4"/>
      <c r="C899" s="4"/>
      <c r="D899" s="4"/>
      <c r="E899" s="4"/>
      <c r="F899" s="4"/>
    </row>
    <row r="900" spans="1:6" ht="86.25" customHeight="1" x14ac:dyDescent="0.2">
      <c r="A900" s="4"/>
      <c r="B900" s="4"/>
      <c r="C900" s="4"/>
      <c r="D900" s="4"/>
      <c r="E900" s="4"/>
      <c r="F900" s="4"/>
    </row>
    <row r="901" spans="1:6" ht="86.25" customHeight="1" x14ac:dyDescent="0.2">
      <c r="A901" s="4"/>
      <c r="B901" s="4"/>
      <c r="C901" s="4"/>
      <c r="D901" s="4"/>
      <c r="E901" s="4"/>
      <c r="F901" s="4"/>
    </row>
    <row r="902" spans="1:6" ht="86.25" customHeight="1" x14ac:dyDescent="0.2">
      <c r="A902" s="4"/>
      <c r="B902" s="4"/>
      <c r="C902" s="4"/>
      <c r="D902" s="4"/>
      <c r="E902" s="4"/>
      <c r="F902" s="4"/>
    </row>
    <row r="903" spans="1:6" ht="86.25" customHeight="1" x14ac:dyDescent="0.2">
      <c r="A903" s="4"/>
      <c r="B903" s="4"/>
      <c r="C903" s="4"/>
      <c r="D903" s="4"/>
      <c r="E903" s="4"/>
      <c r="F903" s="4"/>
    </row>
    <row r="904" spans="1:6" ht="86.25" customHeight="1" x14ac:dyDescent="0.2">
      <c r="A904" s="4"/>
      <c r="B904" s="4"/>
      <c r="C904" s="4"/>
      <c r="D904" s="4"/>
      <c r="E904" s="4"/>
      <c r="F904" s="4"/>
    </row>
    <row r="905" spans="1:6" ht="86.25" customHeight="1" x14ac:dyDescent="0.2">
      <c r="A905" s="4"/>
      <c r="B905" s="4"/>
      <c r="C905" s="4"/>
      <c r="D905" s="4"/>
      <c r="E905" s="4"/>
      <c r="F905" s="4"/>
    </row>
    <row r="906" spans="1:6" ht="86.25" customHeight="1" x14ac:dyDescent="0.2">
      <c r="A906" s="4"/>
      <c r="B906" s="4"/>
      <c r="C906" s="4"/>
      <c r="D906" s="4"/>
      <c r="E906" s="4"/>
      <c r="F906" s="4"/>
    </row>
    <row r="907" spans="1:6" ht="86.25" customHeight="1" x14ac:dyDescent="0.2">
      <c r="A907" s="4"/>
      <c r="B907" s="4"/>
      <c r="C907" s="4"/>
      <c r="D907" s="4"/>
      <c r="E907" s="4"/>
      <c r="F907" s="4"/>
    </row>
    <row r="908" spans="1:6" ht="86.25" customHeight="1" x14ac:dyDescent="0.2">
      <c r="A908" s="4"/>
      <c r="B908" s="4"/>
      <c r="C908" s="4"/>
      <c r="D908" s="4"/>
      <c r="E908" s="4"/>
      <c r="F908" s="4"/>
    </row>
    <row r="909" spans="1:6" ht="86.25" customHeight="1" x14ac:dyDescent="0.2">
      <c r="A909" s="4"/>
      <c r="B909" s="4"/>
      <c r="C909" s="4"/>
      <c r="D909" s="4"/>
      <c r="E909" s="4"/>
      <c r="F909" s="4"/>
    </row>
    <row r="910" spans="1:6" ht="86.25" customHeight="1" x14ac:dyDescent="0.2">
      <c r="A910" s="4"/>
      <c r="B910" s="4"/>
      <c r="C910" s="4"/>
      <c r="D910" s="4"/>
      <c r="E910" s="4"/>
      <c r="F910" s="4"/>
    </row>
    <row r="911" spans="1:6" ht="86.25" customHeight="1" x14ac:dyDescent="0.2">
      <c r="A911" s="4"/>
      <c r="B911" s="4"/>
      <c r="C911" s="4"/>
      <c r="D911" s="4"/>
      <c r="E911" s="4"/>
      <c r="F911" s="4"/>
    </row>
    <row r="912" spans="1:6" ht="86.25" customHeight="1" x14ac:dyDescent="0.2">
      <c r="A912" s="4"/>
      <c r="B912" s="4"/>
      <c r="C912" s="4"/>
      <c r="D912" s="4"/>
      <c r="E912" s="4"/>
      <c r="F912" s="4"/>
    </row>
    <row r="913" spans="1:6" ht="86.25" customHeight="1" x14ac:dyDescent="0.2">
      <c r="A913" s="4"/>
      <c r="B913" s="4"/>
      <c r="C913" s="4"/>
      <c r="D913" s="4"/>
      <c r="E913" s="4"/>
      <c r="F913" s="4"/>
    </row>
    <row r="914" spans="1:6" ht="86.25" customHeight="1" x14ac:dyDescent="0.2">
      <c r="A914" s="4"/>
      <c r="B914" s="4"/>
      <c r="C914" s="4"/>
      <c r="D914" s="4"/>
      <c r="E914" s="4"/>
      <c r="F914" s="4"/>
    </row>
    <row r="915" spans="1:6" ht="86.25" customHeight="1" x14ac:dyDescent="0.2">
      <c r="A915" s="4"/>
      <c r="B915" s="4"/>
      <c r="C915" s="4"/>
      <c r="D915" s="4"/>
      <c r="E915" s="4"/>
      <c r="F915" s="4"/>
    </row>
    <row r="916" spans="1:6" ht="86.25" customHeight="1" x14ac:dyDescent="0.2">
      <c r="A916" s="4"/>
      <c r="B916" s="4"/>
      <c r="C916" s="4"/>
      <c r="D916" s="4"/>
      <c r="E916" s="4"/>
      <c r="F916" s="4"/>
    </row>
    <row r="917" spans="1:6" ht="86.25" customHeight="1" x14ac:dyDescent="0.2">
      <c r="A917" s="4"/>
      <c r="B917" s="4"/>
      <c r="C917" s="4"/>
      <c r="D917" s="4"/>
      <c r="E917" s="4"/>
      <c r="F917" s="4"/>
    </row>
    <row r="918" spans="1:6" ht="86.25" customHeight="1" x14ac:dyDescent="0.2">
      <c r="A918" s="4"/>
      <c r="B918" s="4"/>
      <c r="C918" s="4"/>
      <c r="D918" s="4"/>
      <c r="E918" s="4"/>
      <c r="F918" s="4"/>
    </row>
    <row r="919" spans="1:6" ht="86.25" customHeight="1" x14ac:dyDescent="0.2">
      <c r="A919" s="4"/>
      <c r="B919" s="4"/>
      <c r="C919" s="4"/>
      <c r="D919" s="4"/>
      <c r="E919" s="4"/>
      <c r="F919" s="4"/>
    </row>
    <row r="920" spans="1:6" ht="86.25" customHeight="1" x14ac:dyDescent="0.2">
      <c r="A920" s="4"/>
      <c r="B920" s="4"/>
      <c r="C920" s="4"/>
      <c r="D920" s="4"/>
      <c r="E920" s="4"/>
      <c r="F920" s="4"/>
    </row>
    <row r="921" spans="1:6" ht="86.25" customHeight="1" x14ac:dyDescent="0.2">
      <c r="A921" s="4"/>
      <c r="B921" s="4"/>
      <c r="C921" s="4"/>
      <c r="D921" s="4"/>
      <c r="E921" s="4"/>
      <c r="F921" s="4"/>
    </row>
    <row r="922" spans="1:6" ht="86.25" customHeight="1" x14ac:dyDescent="0.2">
      <c r="A922" s="4"/>
      <c r="B922" s="4"/>
      <c r="C922" s="4"/>
      <c r="D922" s="4"/>
      <c r="E922" s="4"/>
      <c r="F922" s="4"/>
    </row>
    <row r="923" spans="1:6" ht="86.25" customHeight="1" x14ac:dyDescent="0.2">
      <c r="A923" s="4"/>
      <c r="B923" s="4"/>
      <c r="C923" s="4"/>
      <c r="D923" s="4"/>
      <c r="E923" s="4"/>
      <c r="F923" s="4"/>
    </row>
    <row r="924" spans="1:6" ht="86.25" customHeight="1" x14ac:dyDescent="0.2">
      <c r="A924" s="4"/>
      <c r="B924" s="4"/>
      <c r="C924" s="4"/>
      <c r="D924" s="4"/>
      <c r="E924" s="4"/>
      <c r="F924" s="4"/>
    </row>
    <row r="925" spans="1:6" ht="86.25" customHeight="1" x14ac:dyDescent="0.2">
      <c r="A925" s="4"/>
      <c r="B925" s="4"/>
      <c r="C925" s="4"/>
      <c r="D925" s="4"/>
      <c r="E925" s="4"/>
      <c r="F925" s="4"/>
    </row>
    <row r="926" spans="1:6" ht="86.25" customHeight="1" x14ac:dyDescent="0.2">
      <c r="A926" s="4"/>
      <c r="B926" s="4"/>
      <c r="C926" s="4"/>
      <c r="D926" s="4"/>
      <c r="E926" s="4"/>
      <c r="F926" s="4"/>
    </row>
    <row r="927" spans="1:6" ht="86.25" customHeight="1" x14ac:dyDescent="0.2">
      <c r="A927" s="4"/>
      <c r="B927" s="4"/>
      <c r="C927" s="4"/>
      <c r="D927" s="4"/>
      <c r="E927" s="4"/>
      <c r="F927" s="4"/>
    </row>
    <row r="928" spans="1:6" ht="86.25" customHeight="1" x14ac:dyDescent="0.2">
      <c r="A928" s="4"/>
      <c r="B928" s="4"/>
      <c r="C928" s="4"/>
      <c r="D928" s="4"/>
      <c r="E928" s="4"/>
      <c r="F928" s="4"/>
    </row>
    <row r="929" spans="1:6" ht="86.25" customHeight="1" x14ac:dyDescent="0.2">
      <c r="A929" s="4"/>
      <c r="B929" s="4"/>
      <c r="C929" s="4"/>
      <c r="D929" s="4"/>
      <c r="E929" s="4"/>
      <c r="F929" s="4"/>
    </row>
    <row r="930" spans="1:6" ht="86.25" customHeight="1" x14ac:dyDescent="0.2">
      <c r="A930" s="4"/>
      <c r="B930" s="4"/>
      <c r="C930" s="4"/>
      <c r="D930" s="4"/>
      <c r="E930" s="4"/>
      <c r="F930" s="4"/>
    </row>
    <row r="931" spans="1:6" ht="86.25" customHeight="1" x14ac:dyDescent="0.2">
      <c r="A931" s="4"/>
      <c r="B931" s="4"/>
      <c r="C931" s="4"/>
      <c r="D931" s="4"/>
      <c r="E931" s="4"/>
      <c r="F931" s="4"/>
    </row>
    <row r="932" spans="1:6" ht="86.25" customHeight="1" x14ac:dyDescent="0.2">
      <c r="A932" s="4"/>
      <c r="B932" s="4"/>
      <c r="C932" s="4"/>
      <c r="D932" s="4"/>
      <c r="E932" s="4"/>
      <c r="F932" s="4"/>
    </row>
    <row r="933" spans="1:6" ht="86.25" customHeight="1" x14ac:dyDescent="0.2">
      <c r="A933" s="4"/>
      <c r="B933" s="4"/>
      <c r="C933" s="4"/>
      <c r="D933" s="4"/>
      <c r="E933" s="4"/>
      <c r="F933" s="4"/>
    </row>
    <row r="934" spans="1:6" ht="86.25" customHeight="1" x14ac:dyDescent="0.2">
      <c r="A934" s="4"/>
      <c r="B934" s="4"/>
      <c r="C934" s="4"/>
      <c r="D934" s="4"/>
      <c r="E934" s="4"/>
      <c r="F934" s="4"/>
    </row>
    <row r="935" spans="1:6" ht="86.25" customHeight="1" x14ac:dyDescent="0.2">
      <c r="A935" s="4"/>
      <c r="B935" s="4"/>
      <c r="C935" s="4"/>
      <c r="D935" s="4"/>
      <c r="E935" s="4"/>
      <c r="F935" s="4"/>
    </row>
    <row r="936" spans="1:6" ht="86.25" customHeight="1" x14ac:dyDescent="0.2">
      <c r="A936" s="4"/>
      <c r="B936" s="4"/>
      <c r="C936" s="4"/>
      <c r="D936" s="4"/>
      <c r="E936" s="4"/>
      <c r="F936" s="4"/>
    </row>
    <row r="937" spans="1:6" ht="86.25" customHeight="1" x14ac:dyDescent="0.2">
      <c r="A937" s="4"/>
      <c r="B937" s="4"/>
      <c r="C937" s="4"/>
      <c r="D937" s="4"/>
      <c r="E937" s="4"/>
      <c r="F937" s="4"/>
    </row>
    <row r="938" spans="1:6" ht="86.25" customHeight="1" x14ac:dyDescent="0.2">
      <c r="A938" s="4"/>
      <c r="B938" s="4"/>
      <c r="C938" s="4"/>
      <c r="D938" s="4"/>
      <c r="E938" s="4"/>
      <c r="F938" s="4"/>
    </row>
    <row r="939" spans="1:6" ht="86.25" customHeight="1" x14ac:dyDescent="0.2">
      <c r="A939" s="4"/>
      <c r="B939" s="4"/>
      <c r="C939" s="4"/>
      <c r="D939" s="4"/>
      <c r="E939" s="4"/>
      <c r="F939" s="4"/>
    </row>
    <row r="940" spans="1:6" ht="86.25" customHeight="1" x14ac:dyDescent="0.2">
      <c r="A940" s="4"/>
      <c r="B940" s="4"/>
      <c r="C940" s="4"/>
      <c r="D940" s="4"/>
      <c r="E940" s="4"/>
      <c r="F940" s="4"/>
    </row>
    <row r="941" spans="1:6" ht="86.25" customHeight="1" x14ac:dyDescent="0.2">
      <c r="A941" s="4"/>
      <c r="B941" s="4"/>
      <c r="C941" s="4"/>
      <c r="D941" s="4"/>
      <c r="E941" s="4"/>
      <c r="F941" s="4"/>
    </row>
    <row r="942" spans="1:6" ht="86.25" customHeight="1" x14ac:dyDescent="0.2">
      <c r="A942" s="4"/>
      <c r="B942" s="4"/>
      <c r="C942" s="4"/>
      <c r="D942" s="4"/>
      <c r="E942" s="4"/>
      <c r="F942" s="4"/>
    </row>
    <row r="943" spans="1:6" ht="86.25" customHeight="1" x14ac:dyDescent="0.2">
      <c r="A943" s="4"/>
      <c r="B943" s="4"/>
      <c r="C943" s="4"/>
      <c r="D943" s="4"/>
      <c r="E943" s="4"/>
      <c r="F943" s="4"/>
    </row>
    <row r="944" spans="1:6" ht="86.25" customHeight="1" x14ac:dyDescent="0.2">
      <c r="A944" s="4"/>
      <c r="B944" s="4"/>
      <c r="C944" s="4"/>
      <c r="D944" s="4"/>
      <c r="E944" s="4"/>
      <c r="F944" s="4"/>
    </row>
    <row r="945" spans="1:6" ht="86.25" customHeight="1" x14ac:dyDescent="0.2">
      <c r="A945" s="4"/>
      <c r="B945" s="4"/>
      <c r="C945" s="4"/>
      <c r="D945" s="4"/>
      <c r="E945" s="4"/>
      <c r="F945" s="4"/>
    </row>
    <row r="946" spans="1:6" ht="86.25" customHeight="1" x14ac:dyDescent="0.2">
      <c r="A946" s="4"/>
      <c r="B946" s="4"/>
      <c r="C946" s="4"/>
      <c r="D946" s="4"/>
      <c r="E946" s="4"/>
      <c r="F946" s="4"/>
    </row>
    <row r="947" spans="1:6" ht="86.25" customHeight="1" x14ac:dyDescent="0.2">
      <c r="A947" s="4"/>
      <c r="B947" s="4"/>
      <c r="C947" s="4"/>
      <c r="D947" s="4"/>
      <c r="E947" s="4"/>
      <c r="F947" s="4"/>
    </row>
    <row r="948" spans="1:6" ht="86.25" customHeight="1" x14ac:dyDescent="0.2">
      <c r="A948" s="4"/>
      <c r="B948" s="4"/>
      <c r="C948" s="4"/>
      <c r="D948" s="4"/>
      <c r="E948" s="4"/>
      <c r="F948" s="4"/>
    </row>
    <row r="949" spans="1:6" ht="86.25" customHeight="1" x14ac:dyDescent="0.2">
      <c r="A949" s="4"/>
      <c r="B949" s="4"/>
      <c r="C949" s="4"/>
      <c r="D949" s="4"/>
      <c r="E949" s="4"/>
      <c r="F949" s="4"/>
    </row>
    <row r="950" spans="1:6" ht="86.25" customHeight="1" x14ac:dyDescent="0.2">
      <c r="A950" s="4"/>
      <c r="B950" s="4"/>
      <c r="C950" s="4"/>
      <c r="D950" s="4"/>
      <c r="E950" s="4"/>
      <c r="F950" s="4"/>
    </row>
    <row r="951" spans="1:6" ht="86.25" customHeight="1" x14ac:dyDescent="0.2">
      <c r="A951" s="4"/>
      <c r="B951" s="4"/>
      <c r="C951" s="4"/>
      <c r="D951" s="4"/>
      <c r="E951" s="4"/>
      <c r="F951" s="4"/>
    </row>
    <row r="952" spans="1:6" ht="86.25" customHeight="1" x14ac:dyDescent="0.2">
      <c r="A952" s="4"/>
      <c r="B952" s="4"/>
      <c r="C952" s="4"/>
      <c r="D952" s="4"/>
      <c r="E952" s="4"/>
      <c r="F952" s="4"/>
    </row>
    <row r="953" spans="1:6" ht="86.25" customHeight="1" x14ac:dyDescent="0.2">
      <c r="A953" s="4"/>
      <c r="B953" s="4"/>
      <c r="C953" s="4"/>
      <c r="D953" s="4"/>
      <c r="E953" s="4"/>
      <c r="F953" s="4"/>
    </row>
    <row r="954" spans="1:6" ht="86.25" customHeight="1" x14ac:dyDescent="0.2">
      <c r="A954" s="4"/>
      <c r="B954" s="4"/>
      <c r="C954" s="4"/>
      <c r="D954" s="4"/>
      <c r="E954" s="4"/>
      <c r="F954" s="4"/>
    </row>
    <row r="955" spans="1:6" ht="86.25" customHeight="1" x14ac:dyDescent="0.2">
      <c r="A955" s="4"/>
      <c r="B955" s="4"/>
      <c r="C955" s="4"/>
      <c r="D955" s="4"/>
      <c r="E955" s="4"/>
      <c r="F955" s="4"/>
    </row>
    <row r="956" spans="1:6" ht="86.25" customHeight="1" x14ac:dyDescent="0.2">
      <c r="A956" s="4"/>
      <c r="B956" s="4"/>
      <c r="C956" s="4"/>
      <c r="D956" s="4"/>
      <c r="E956" s="4"/>
      <c r="F956" s="4"/>
    </row>
    <row r="957" spans="1:6" ht="86.25" customHeight="1" x14ac:dyDescent="0.2">
      <c r="A957" s="4"/>
      <c r="B957" s="4"/>
      <c r="C957" s="4"/>
      <c r="D957" s="4"/>
      <c r="E957" s="4"/>
      <c r="F957" s="4"/>
    </row>
    <row r="958" spans="1:6" ht="86.25" customHeight="1" x14ac:dyDescent="0.2">
      <c r="A958" s="4"/>
      <c r="B958" s="4"/>
      <c r="C958" s="4"/>
      <c r="D958" s="4"/>
      <c r="E958" s="4"/>
      <c r="F958" s="4"/>
    </row>
    <row r="959" spans="1:6" ht="86.25" customHeight="1" x14ac:dyDescent="0.2">
      <c r="A959" s="4"/>
      <c r="B959" s="4"/>
      <c r="C959" s="4"/>
      <c r="D959" s="4"/>
      <c r="E959" s="4"/>
      <c r="F959" s="4"/>
    </row>
    <row r="960" spans="1:6" ht="86.25" customHeight="1" x14ac:dyDescent="0.2">
      <c r="A960" s="4"/>
      <c r="B960" s="4"/>
      <c r="C960" s="4"/>
      <c r="D960" s="4"/>
      <c r="E960" s="4"/>
      <c r="F960" s="4"/>
    </row>
    <row r="961" spans="1:6" ht="86.25" customHeight="1" x14ac:dyDescent="0.2">
      <c r="A961" s="4"/>
      <c r="B961" s="4"/>
      <c r="C961" s="4"/>
      <c r="D961" s="4"/>
      <c r="E961" s="4"/>
      <c r="F961" s="4"/>
    </row>
    <row r="962" spans="1:6" ht="86.25" customHeight="1" x14ac:dyDescent="0.2">
      <c r="A962" s="4"/>
      <c r="B962" s="4"/>
      <c r="C962" s="4"/>
      <c r="D962" s="4"/>
      <c r="E962" s="4"/>
      <c r="F962" s="4"/>
    </row>
    <row r="963" spans="1:6" ht="86.25" customHeight="1" x14ac:dyDescent="0.2">
      <c r="A963" s="4"/>
      <c r="B963" s="4"/>
      <c r="C963" s="4"/>
      <c r="D963" s="4"/>
      <c r="E963" s="4"/>
      <c r="F963" s="4"/>
    </row>
    <row r="964" spans="1:6" ht="86.25" customHeight="1" x14ac:dyDescent="0.2">
      <c r="A964" s="4"/>
      <c r="B964" s="4"/>
      <c r="C964" s="4"/>
      <c r="D964" s="4"/>
      <c r="E964" s="4"/>
      <c r="F964" s="4"/>
    </row>
    <row r="965" spans="1:6" ht="86.25" customHeight="1" x14ac:dyDescent="0.2">
      <c r="A965" s="4"/>
      <c r="B965" s="4"/>
      <c r="C965" s="4"/>
      <c r="D965" s="4"/>
      <c r="E965" s="4"/>
      <c r="F965" s="4"/>
    </row>
    <row r="966" spans="1:6" ht="86.25" customHeight="1" x14ac:dyDescent="0.2">
      <c r="A966" s="4"/>
      <c r="B966" s="4"/>
      <c r="C966" s="4"/>
      <c r="D966" s="4"/>
      <c r="E966" s="4"/>
      <c r="F966" s="4"/>
    </row>
    <row r="967" spans="1:6" ht="86.25" customHeight="1" x14ac:dyDescent="0.2">
      <c r="A967" s="4"/>
      <c r="B967" s="4"/>
      <c r="C967" s="4"/>
      <c r="D967" s="4"/>
      <c r="E967" s="4"/>
      <c r="F967" s="4"/>
    </row>
    <row r="968" spans="1:6" ht="86.25" customHeight="1" x14ac:dyDescent="0.2">
      <c r="A968" s="4"/>
      <c r="B968" s="4"/>
      <c r="C968" s="4"/>
      <c r="D968" s="4"/>
      <c r="E968" s="4"/>
      <c r="F968" s="4"/>
    </row>
    <row r="969" spans="1:6" ht="86.25" customHeight="1" x14ac:dyDescent="0.2">
      <c r="A969" s="4"/>
      <c r="B969" s="4"/>
      <c r="C969" s="4"/>
      <c r="D969" s="4"/>
      <c r="E969" s="4"/>
      <c r="F969" s="4"/>
    </row>
    <row r="970" spans="1:6" ht="86.25" customHeight="1" x14ac:dyDescent="0.2">
      <c r="A970" s="4"/>
      <c r="B970" s="4"/>
      <c r="C970" s="4"/>
      <c r="D970" s="4"/>
      <c r="E970" s="4"/>
      <c r="F970" s="4"/>
    </row>
    <row r="971" spans="1:6" ht="86.25" customHeight="1" x14ac:dyDescent="0.2">
      <c r="A971" s="4"/>
      <c r="B971" s="4"/>
      <c r="C971" s="4"/>
      <c r="D971" s="4"/>
      <c r="E971" s="4"/>
      <c r="F971" s="4"/>
    </row>
    <row r="972" spans="1:6" ht="86.25" customHeight="1" x14ac:dyDescent="0.2">
      <c r="A972" s="4"/>
      <c r="B972" s="4"/>
      <c r="C972" s="4"/>
      <c r="D972" s="4"/>
      <c r="E972" s="4"/>
      <c r="F972" s="4"/>
    </row>
    <row r="973" spans="1:6" ht="86.25" customHeight="1" x14ac:dyDescent="0.2">
      <c r="A973" s="4"/>
      <c r="B973" s="4"/>
      <c r="C973" s="4"/>
      <c r="D973" s="4"/>
      <c r="E973" s="4"/>
      <c r="F973" s="4"/>
    </row>
    <row r="974" spans="1:6" ht="86.25" customHeight="1" x14ac:dyDescent="0.2">
      <c r="A974" s="4"/>
      <c r="B974" s="4"/>
      <c r="C974" s="4"/>
      <c r="D974" s="4"/>
      <c r="E974" s="4"/>
      <c r="F974" s="4"/>
    </row>
    <row r="975" spans="1:6" ht="86.25" customHeight="1" x14ac:dyDescent="0.2">
      <c r="A975" s="4"/>
      <c r="B975" s="4"/>
      <c r="C975" s="4"/>
      <c r="D975" s="4"/>
      <c r="E975" s="4"/>
      <c r="F975" s="4"/>
    </row>
    <row r="976" spans="1:6" ht="86.25" customHeight="1" x14ac:dyDescent="0.2">
      <c r="A976" s="4"/>
      <c r="B976" s="4"/>
      <c r="C976" s="4"/>
      <c r="D976" s="4"/>
      <c r="E976" s="4"/>
      <c r="F976" s="4"/>
    </row>
    <row r="977" spans="1:6" ht="86.25" customHeight="1" x14ac:dyDescent="0.2">
      <c r="A977" s="4"/>
      <c r="B977" s="4"/>
      <c r="C977" s="4"/>
      <c r="D977" s="4"/>
      <c r="E977" s="4"/>
      <c r="F977" s="4"/>
    </row>
    <row r="978" spans="1:6" ht="86.25" customHeight="1" x14ac:dyDescent="0.2">
      <c r="A978" s="4"/>
      <c r="B978" s="4"/>
      <c r="C978" s="4"/>
      <c r="D978" s="4"/>
      <c r="E978" s="4"/>
      <c r="F978" s="4"/>
    </row>
    <row r="979" spans="1:6" ht="86.25" customHeight="1" x14ac:dyDescent="0.2">
      <c r="A979" s="4"/>
      <c r="B979" s="4"/>
      <c r="C979" s="4"/>
      <c r="D979" s="4"/>
      <c r="E979" s="4"/>
      <c r="F979" s="4"/>
    </row>
    <row r="980" spans="1:6" ht="86.25" customHeight="1" x14ac:dyDescent="0.2">
      <c r="A980" s="4"/>
      <c r="B980" s="4"/>
      <c r="C980" s="4"/>
      <c r="D980" s="4"/>
      <c r="E980" s="4"/>
      <c r="F980" s="4"/>
    </row>
    <row r="981" spans="1:6" ht="86.25" customHeight="1" x14ac:dyDescent="0.2">
      <c r="A981" s="4"/>
      <c r="B981" s="4"/>
      <c r="C981" s="4"/>
      <c r="D981" s="4"/>
      <c r="E981" s="4"/>
      <c r="F981" s="4"/>
    </row>
    <row r="982" spans="1:6" ht="86.25" customHeight="1" x14ac:dyDescent="0.2">
      <c r="A982" s="4"/>
      <c r="B982" s="4"/>
      <c r="C982" s="4"/>
      <c r="D982" s="4"/>
      <c r="E982" s="4"/>
      <c r="F982" s="4"/>
    </row>
    <row r="983" spans="1:6" ht="86.25" customHeight="1" x14ac:dyDescent="0.2">
      <c r="A983" s="4"/>
      <c r="B983" s="4"/>
      <c r="C983" s="4"/>
      <c r="D983" s="4"/>
      <c r="E983" s="4"/>
      <c r="F983" s="4"/>
    </row>
    <row r="984" spans="1:6" ht="86.25" customHeight="1" x14ac:dyDescent="0.2">
      <c r="A984" s="4"/>
      <c r="B984" s="4"/>
      <c r="C984" s="4"/>
      <c r="D984" s="4"/>
      <c r="E984" s="4"/>
      <c r="F984" s="4"/>
    </row>
    <row r="985" spans="1:6" ht="86.25" customHeight="1" x14ac:dyDescent="0.2">
      <c r="A985" s="4"/>
      <c r="B985" s="4"/>
      <c r="C985" s="4"/>
      <c r="D985" s="4"/>
      <c r="E985" s="4"/>
      <c r="F985" s="4"/>
    </row>
    <row r="986" spans="1:6" ht="86.25" customHeight="1" x14ac:dyDescent="0.2">
      <c r="A986" s="4"/>
      <c r="B986" s="4"/>
      <c r="C986" s="4"/>
      <c r="D986" s="4"/>
      <c r="E986" s="4"/>
      <c r="F986" s="4"/>
    </row>
    <row r="987" spans="1:6" ht="86.25" customHeight="1" x14ac:dyDescent="0.2">
      <c r="A987" s="4"/>
      <c r="B987" s="4"/>
      <c r="C987" s="4"/>
      <c r="D987" s="4"/>
      <c r="E987" s="4"/>
      <c r="F987" s="4"/>
    </row>
    <row r="988" spans="1:6" ht="86.25" customHeight="1" x14ac:dyDescent="0.2">
      <c r="A988" s="4"/>
      <c r="B988" s="4"/>
      <c r="C988" s="4"/>
      <c r="D988" s="4"/>
      <c r="E988" s="4"/>
      <c r="F988" s="4"/>
    </row>
    <row r="989" spans="1:6" ht="86.25" customHeight="1" x14ac:dyDescent="0.2">
      <c r="A989" s="4"/>
      <c r="B989" s="4"/>
      <c r="C989" s="4"/>
      <c r="D989" s="4"/>
      <c r="E989" s="4"/>
      <c r="F989" s="4"/>
    </row>
    <row r="990" spans="1:6" ht="86.25" customHeight="1" x14ac:dyDescent="0.2">
      <c r="A990" s="4"/>
      <c r="B990" s="4"/>
      <c r="C990" s="4"/>
      <c r="D990" s="4"/>
      <c r="E990" s="4"/>
      <c r="F990" s="4"/>
    </row>
    <row r="991" spans="1:6" ht="86.25" customHeight="1" x14ac:dyDescent="0.2">
      <c r="A991" s="4"/>
      <c r="B991" s="4"/>
      <c r="C991" s="4"/>
      <c r="D991" s="4"/>
      <c r="E991" s="4"/>
      <c r="F991" s="4"/>
    </row>
    <row r="992" spans="1:6" ht="86.25" customHeight="1" x14ac:dyDescent="0.2">
      <c r="A992" s="4"/>
      <c r="B992" s="4"/>
      <c r="C992" s="4"/>
      <c r="D992" s="4"/>
      <c r="E992" s="4"/>
      <c r="F992" s="4"/>
    </row>
    <row r="993" spans="1:6" ht="86.25" customHeight="1" x14ac:dyDescent="0.2">
      <c r="A993" s="4"/>
      <c r="B993" s="4"/>
      <c r="C993" s="4"/>
      <c r="D993" s="4"/>
      <c r="E993" s="4"/>
      <c r="F993" s="4"/>
    </row>
    <row r="994" spans="1:6" ht="86.25" customHeight="1" x14ac:dyDescent="0.2">
      <c r="A994" s="4"/>
      <c r="B994" s="4"/>
      <c r="C994" s="4"/>
      <c r="D994" s="4"/>
      <c r="E994" s="4"/>
      <c r="F994" s="4"/>
    </row>
    <row r="995" spans="1:6" ht="86.25" customHeight="1" x14ac:dyDescent="0.2">
      <c r="A995" s="4"/>
      <c r="B995" s="4"/>
      <c r="C995" s="4"/>
      <c r="D995" s="4"/>
      <c r="E995" s="4"/>
      <c r="F995" s="4"/>
    </row>
    <row r="996" spans="1:6" ht="86.25" customHeight="1" x14ac:dyDescent="0.2">
      <c r="A996" s="4"/>
      <c r="B996" s="4"/>
      <c r="C996" s="4"/>
      <c r="D996" s="4"/>
      <c r="E996" s="4"/>
      <c r="F996" s="4"/>
    </row>
    <row r="997" spans="1:6" ht="86.25" customHeight="1" x14ac:dyDescent="0.2">
      <c r="A997" s="4"/>
      <c r="B997" s="4"/>
      <c r="C997" s="4"/>
      <c r="D997" s="4"/>
      <c r="E997" s="4"/>
      <c r="F997" s="4"/>
    </row>
    <row r="998" spans="1:6" ht="86.25" customHeight="1" x14ac:dyDescent="0.2">
      <c r="A998" s="4"/>
      <c r="B998" s="4"/>
      <c r="C998" s="4"/>
      <c r="D998" s="4"/>
      <c r="E998" s="4"/>
      <c r="F998" s="4"/>
    </row>
    <row r="999" spans="1:6" ht="86.25" customHeight="1" x14ac:dyDescent="0.2">
      <c r="A999" s="4"/>
      <c r="B999" s="4"/>
      <c r="C999" s="4"/>
      <c r="D999" s="4"/>
      <c r="E999" s="4"/>
      <c r="F999" s="4"/>
    </row>
    <row r="1000" spans="1:6" ht="86.25" customHeight="1" x14ac:dyDescent="0.2">
      <c r="A1000" s="4"/>
      <c r="B1000" s="4"/>
      <c r="C1000" s="4"/>
      <c r="D1000" s="4"/>
      <c r="E1000" s="4"/>
      <c r="F1000" s="4"/>
    </row>
    <row r="1001" spans="1:6" ht="86.25" customHeight="1" x14ac:dyDescent="0.2">
      <c r="A1001" s="4"/>
      <c r="B1001" s="4"/>
      <c r="C1001" s="4"/>
      <c r="D1001" s="4"/>
      <c r="E1001" s="4"/>
      <c r="F1001" s="4"/>
    </row>
    <row r="1002" spans="1:6" ht="86.25" customHeight="1" x14ac:dyDescent="0.2">
      <c r="A1002" s="4"/>
      <c r="B1002" s="4"/>
      <c r="C1002" s="4"/>
      <c r="D1002" s="4"/>
      <c r="E1002" s="4"/>
      <c r="F1002" s="4"/>
    </row>
    <row r="1003" spans="1:6" ht="86.25" customHeight="1" x14ac:dyDescent="0.2">
      <c r="A1003" s="4"/>
      <c r="B1003" s="4"/>
      <c r="C1003" s="4"/>
      <c r="D1003" s="4"/>
      <c r="E1003" s="4"/>
      <c r="F1003" s="4"/>
    </row>
    <row r="1004" spans="1:6" ht="86.25" customHeight="1" x14ac:dyDescent="0.2">
      <c r="A1004" s="4"/>
      <c r="B1004" s="4"/>
      <c r="C1004" s="4"/>
      <c r="D1004" s="4"/>
      <c r="E1004" s="4"/>
      <c r="F1004" s="4"/>
    </row>
    <row r="1005" spans="1:6" ht="86.25" customHeight="1" x14ac:dyDescent="0.2">
      <c r="A1005" s="4"/>
      <c r="B1005" s="4"/>
      <c r="C1005" s="4"/>
      <c r="D1005" s="4"/>
      <c r="E1005" s="4"/>
      <c r="F1005" s="4"/>
    </row>
    <row r="1006" spans="1:6" ht="86.25" customHeight="1" x14ac:dyDescent="0.2">
      <c r="A1006" s="4"/>
      <c r="B1006" s="4"/>
      <c r="C1006" s="4"/>
      <c r="D1006" s="4"/>
      <c r="E1006" s="4"/>
      <c r="F1006" s="4"/>
    </row>
    <row r="1007" spans="1:6" ht="86.25" customHeight="1" x14ac:dyDescent="0.2">
      <c r="A1007" s="4"/>
      <c r="B1007" s="4"/>
      <c r="C1007" s="4"/>
      <c r="D1007" s="4"/>
      <c r="E1007" s="4"/>
      <c r="F1007" s="4"/>
    </row>
    <row r="1008" spans="1:6" ht="86.25" customHeight="1" x14ac:dyDescent="0.2">
      <c r="A1008" s="4"/>
      <c r="B1008" s="4"/>
      <c r="C1008" s="4"/>
      <c r="D1008" s="4"/>
      <c r="E1008" s="4"/>
      <c r="F1008" s="4"/>
    </row>
    <row r="1009" spans="1:6" ht="86.25" customHeight="1" x14ac:dyDescent="0.2">
      <c r="A1009" s="4"/>
      <c r="B1009" s="4"/>
      <c r="C1009" s="4"/>
      <c r="D1009" s="4"/>
      <c r="E1009" s="4"/>
      <c r="F1009" s="4"/>
    </row>
    <row r="1010" spans="1:6" ht="86.25" customHeight="1" x14ac:dyDescent="0.2">
      <c r="A1010" s="4"/>
      <c r="B1010" s="4"/>
      <c r="C1010" s="4"/>
      <c r="D1010" s="4"/>
      <c r="E1010" s="4"/>
      <c r="F1010" s="4"/>
    </row>
    <row r="1011" spans="1:6" ht="86.25" customHeight="1" x14ac:dyDescent="0.2">
      <c r="A1011" s="4"/>
      <c r="B1011" s="4"/>
      <c r="C1011" s="4"/>
      <c r="D1011" s="4"/>
      <c r="E1011" s="4"/>
      <c r="F1011" s="4"/>
    </row>
    <row r="1012" spans="1:6" ht="86.25" customHeight="1" x14ac:dyDescent="0.2">
      <c r="A1012" s="4"/>
      <c r="B1012" s="4"/>
      <c r="C1012" s="4"/>
      <c r="D1012" s="4"/>
      <c r="E1012" s="4"/>
      <c r="F1012" s="4"/>
    </row>
    <row r="1013" spans="1:6" ht="86.25" customHeight="1" x14ac:dyDescent="0.2">
      <c r="A1013" s="4"/>
      <c r="B1013" s="4"/>
      <c r="C1013" s="4"/>
      <c r="D1013" s="4"/>
      <c r="E1013" s="4"/>
      <c r="F1013" s="4"/>
    </row>
    <row r="1014" spans="1:6" ht="86.25" customHeight="1" x14ac:dyDescent="0.2">
      <c r="A1014" s="4"/>
      <c r="B1014" s="4"/>
      <c r="C1014" s="4"/>
      <c r="D1014" s="4"/>
      <c r="E1014" s="4"/>
      <c r="F1014" s="4"/>
    </row>
    <row r="1015" spans="1:6" ht="86.25" customHeight="1" x14ac:dyDescent="0.2">
      <c r="A1015" s="4"/>
      <c r="B1015" s="4"/>
      <c r="C1015" s="4"/>
      <c r="D1015" s="4"/>
      <c r="E1015" s="4"/>
      <c r="F1015" s="4"/>
    </row>
    <row r="1016" spans="1:6" ht="86.25" customHeight="1" x14ac:dyDescent="0.2">
      <c r="A1016" s="4"/>
      <c r="B1016" s="4"/>
      <c r="C1016" s="4"/>
      <c r="D1016" s="4"/>
      <c r="E1016" s="4"/>
      <c r="F1016" s="4"/>
    </row>
    <row r="1017" spans="1:6" ht="86.25" customHeight="1" x14ac:dyDescent="0.2">
      <c r="A1017" s="4"/>
      <c r="B1017" s="4"/>
      <c r="C1017" s="4"/>
      <c r="D1017" s="4"/>
      <c r="E1017" s="4"/>
      <c r="F1017" s="4"/>
    </row>
    <row r="1018" spans="1:6" ht="86.25" customHeight="1" x14ac:dyDescent="0.2">
      <c r="A1018" s="4"/>
      <c r="B1018" s="4"/>
      <c r="C1018" s="4"/>
      <c r="D1018" s="4"/>
      <c r="E1018" s="4"/>
      <c r="F1018" s="4"/>
    </row>
    <row r="1019" spans="1:6" ht="86.25" customHeight="1" x14ac:dyDescent="0.2">
      <c r="A1019" s="4"/>
      <c r="B1019" s="4"/>
      <c r="C1019" s="4"/>
      <c r="D1019" s="4"/>
      <c r="E1019" s="4"/>
      <c r="F1019" s="4"/>
    </row>
    <row r="1020" spans="1:6" ht="86.25" customHeight="1" x14ac:dyDescent="0.2">
      <c r="A1020" s="4"/>
      <c r="B1020" s="4"/>
      <c r="C1020" s="4"/>
      <c r="D1020" s="4"/>
      <c r="E1020" s="4"/>
      <c r="F1020" s="4"/>
    </row>
    <row r="1021" spans="1:6" ht="86.25" customHeight="1" x14ac:dyDescent="0.2">
      <c r="A1021" s="4"/>
      <c r="B1021" s="4"/>
      <c r="C1021" s="4"/>
      <c r="D1021" s="4"/>
      <c r="E1021" s="4"/>
      <c r="F1021" s="4"/>
    </row>
    <row r="1022" spans="1:6" ht="86.25" customHeight="1" x14ac:dyDescent="0.2">
      <c r="A1022" s="4"/>
      <c r="B1022" s="4"/>
      <c r="C1022" s="4"/>
      <c r="D1022" s="4"/>
      <c r="E1022" s="4"/>
      <c r="F1022" s="4"/>
    </row>
    <row r="1023" spans="1:6" ht="86.25" customHeight="1" x14ac:dyDescent="0.2">
      <c r="A1023" s="4"/>
      <c r="B1023" s="4"/>
      <c r="C1023" s="4"/>
      <c r="D1023" s="4"/>
      <c r="E1023" s="4"/>
      <c r="F1023" s="4"/>
    </row>
    <row r="1024" spans="1:6" ht="86.25" customHeight="1" x14ac:dyDescent="0.2">
      <c r="A1024" s="4"/>
      <c r="B1024" s="4"/>
      <c r="C1024" s="4"/>
      <c r="D1024" s="4"/>
      <c r="E1024" s="4"/>
      <c r="F1024" s="4"/>
    </row>
    <row r="1025" spans="1:6" ht="86.25" customHeight="1" x14ac:dyDescent="0.2">
      <c r="A1025" s="4"/>
      <c r="B1025" s="4"/>
      <c r="C1025" s="4"/>
      <c r="D1025" s="4"/>
      <c r="E1025" s="4"/>
      <c r="F1025" s="4"/>
    </row>
    <row r="1026" spans="1:6" ht="86.25" customHeight="1" x14ac:dyDescent="0.2">
      <c r="A1026" s="4"/>
      <c r="B1026" s="4"/>
      <c r="C1026" s="4"/>
      <c r="D1026" s="4"/>
      <c r="E1026" s="4"/>
      <c r="F1026" s="4"/>
    </row>
    <row r="1027" spans="1:6" ht="86.25" customHeight="1" x14ac:dyDescent="0.2">
      <c r="A1027" s="4"/>
      <c r="B1027" s="4"/>
      <c r="C1027" s="4"/>
      <c r="D1027" s="4"/>
      <c r="E1027" s="4"/>
      <c r="F1027" s="4"/>
    </row>
    <row r="1028" spans="1:6" ht="86.25" customHeight="1" x14ac:dyDescent="0.2">
      <c r="A1028" s="4"/>
      <c r="B1028" s="4"/>
      <c r="C1028" s="4"/>
      <c r="D1028" s="4"/>
      <c r="E1028" s="4"/>
      <c r="F1028" s="4"/>
    </row>
    <row r="1029" spans="1:6" ht="86.25" customHeight="1" x14ac:dyDescent="0.2">
      <c r="A1029" s="4"/>
      <c r="B1029" s="4"/>
      <c r="C1029" s="4"/>
      <c r="D1029" s="4"/>
      <c r="E1029" s="4"/>
      <c r="F1029" s="4"/>
    </row>
    <row r="1030" spans="1:6" ht="86.25" customHeight="1" x14ac:dyDescent="0.2">
      <c r="A1030" s="4"/>
      <c r="B1030" s="4"/>
      <c r="C1030" s="4"/>
      <c r="D1030" s="4"/>
      <c r="E1030" s="4"/>
      <c r="F1030" s="4"/>
    </row>
    <row r="1031" spans="1:6" ht="86.25" customHeight="1" x14ac:dyDescent="0.2">
      <c r="A1031" s="4"/>
      <c r="B1031" s="4"/>
      <c r="C1031" s="4"/>
      <c r="D1031" s="4"/>
      <c r="E1031" s="4"/>
      <c r="F1031" s="4"/>
    </row>
    <row r="1032" spans="1:6" ht="86.25" customHeight="1" x14ac:dyDescent="0.2">
      <c r="A1032" s="4"/>
      <c r="B1032" s="4"/>
      <c r="C1032" s="4"/>
      <c r="D1032" s="4"/>
      <c r="E1032" s="4"/>
      <c r="F1032" s="4"/>
    </row>
    <row r="1033" spans="1:6" ht="86.25" customHeight="1" x14ac:dyDescent="0.2">
      <c r="A1033" s="4"/>
      <c r="B1033" s="4"/>
      <c r="C1033" s="4"/>
      <c r="D1033" s="4"/>
      <c r="E1033" s="4"/>
      <c r="F1033" s="4"/>
    </row>
    <row r="1034" spans="1:6" ht="86.25" customHeight="1" x14ac:dyDescent="0.2">
      <c r="A1034" s="4"/>
      <c r="B1034" s="4"/>
      <c r="C1034" s="4"/>
      <c r="D1034" s="4"/>
      <c r="E1034" s="4"/>
      <c r="F1034" s="4"/>
    </row>
    <row r="1035" spans="1:6" ht="86.25" customHeight="1" x14ac:dyDescent="0.2">
      <c r="A1035" s="4"/>
      <c r="B1035" s="4"/>
      <c r="C1035" s="4"/>
      <c r="D1035" s="4"/>
      <c r="E1035" s="4"/>
      <c r="F1035" s="4"/>
    </row>
    <row r="1036" spans="1:6" ht="86.25" customHeight="1" x14ac:dyDescent="0.2">
      <c r="A1036" s="4"/>
      <c r="B1036" s="4"/>
      <c r="C1036" s="4"/>
      <c r="D1036" s="4"/>
      <c r="E1036" s="4"/>
      <c r="F1036" s="4"/>
    </row>
    <row r="1037" spans="1:6" ht="86.25" customHeight="1" x14ac:dyDescent="0.2">
      <c r="A1037" s="4"/>
      <c r="B1037" s="4"/>
      <c r="C1037" s="4"/>
      <c r="D1037" s="4"/>
      <c r="E1037" s="4"/>
      <c r="F1037" s="4"/>
    </row>
    <row r="1038" spans="1:6" ht="86.25" customHeight="1" x14ac:dyDescent="0.2">
      <c r="A1038" s="4"/>
      <c r="B1038" s="4"/>
      <c r="C1038" s="4"/>
      <c r="D1038" s="4"/>
      <c r="E1038" s="4"/>
      <c r="F1038" s="4"/>
    </row>
    <row r="1039" spans="1:6" ht="86.25" customHeight="1" x14ac:dyDescent="0.2">
      <c r="A1039" s="4"/>
      <c r="B1039" s="4"/>
      <c r="C1039" s="4"/>
      <c r="D1039" s="4"/>
      <c r="E1039" s="4"/>
      <c r="F1039" s="4"/>
    </row>
    <row r="1040" spans="1:6" ht="86.25" customHeight="1" x14ac:dyDescent="0.2">
      <c r="A1040" s="4"/>
      <c r="B1040" s="4"/>
      <c r="C1040" s="4"/>
      <c r="D1040" s="4"/>
      <c r="E1040" s="4"/>
      <c r="F1040" s="4"/>
    </row>
    <row r="1041" spans="1:6" ht="86.25" customHeight="1" x14ac:dyDescent="0.2">
      <c r="A1041" s="4"/>
      <c r="B1041" s="4"/>
      <c r="C1041" s="4"/>
      <c r="D1041" s="4"/>
      <c r="E1041" s="4"/>
      <c r="F1041" s="4"/>
    </row>
    <row r="1042" spans="1:6" ht="86.25" customHeight="1" x14ac:dyDescent="0.2">
      <c r="A1042" s="4"/>
      <c r="B1042" s="4"/>
      <c r="C1042" s="4"/>
      <c r="D1042" s="4"/>
      <c r="E1042" s="4"/>
      <c r="F1042" s="4"/>
    </row>
    <row r="1043" spans="1:6" ht="86.25" customHeight="1" x14ac:dyDescent="0.2">
      <c r="A1043" s="4"/>
      <c r="B1043" s="4"/>
      <c r="C1043" s="4"/>
      <c r="D1043" s="4"/>
      <c r="E1043" s="4"/>
      <c r="F1043" s="4"/>
    </row>
    <row r="1044" spans="1:6" ht="86.25" customHeight="1" x14ac:dyDescent="0.2">
      <c r="A1044" s="4"/>
      <c r="B1044" s="4"/>
      <c r="C1044" s="4"/>
      <c r="D1044" s="4"/>
      <c r="E1044" s="4"/>
      <c r="F1044" s="4"/>
    </row>
    <row r="1045" spans="1:6" ht="86.25" customHeight="1" x14ac:dyDescent="0.2">
      <c r="A1045" s="4"/>
      <c r="B1045" s="4"/>
      <c r="C1045" s="4"/>
      <c r="D1045" s="4"/>
      <c r="E1045" s="4"/>
      <c r="F1045" s="4"/>
    </row>
    <row r="1046" spans="1:6" ht="86.25" customHeight="1" x14ac:dyDescent="0.2">
      <c r="A1046" s="4"/>
      <c r="B1046" s="4"/>
      <c r="C1046" s="4"/>
      <c r="D1046" s="4"/>
      <c r="E1046" s="4"/>
      <c r="F1046" s="4"/>
    </row>
    <row r="1047" spans="1:6" ht="86.25" customHeight="1" x14ac:dyDescent="0.2">
      <c r="A1047" s="4"/>
      <c r="B1047" s="4"/>
      <c r="C1047" s="4"/>
      <c r="D1047" s="4"/>
      <c r="E1047" s="4"/>
      <c r="F1047" s="4"/>
    </row>
    <row r="1048" spans="1:6" ht="86.25" customHeight="1" x14ac:dyDescent="0.2">
      <c r="A1048" s="4"/>
      <c r="B1048" s="4"/>
      <c r="C1048" s="4"/>
      <c r="D1048" s="4"/>
      <c r="E1048" s="4"/>
      <c r="F1048" s="4"/>
    </row>
    <row r="1049" spans="1:6" ht="86.25" customHeight="1" x14ac:dyDescent="0.2">
      <c r="A1049" s="4"/>
      <c r="B1049" s="4"/>
      <c r="C1049" s="4"/>
      <c r="D1049" s="4"/>
      <c r="E1049" s="4"/>
      <c r="F1049" s="4"/>
    </row>
    <row r="1050" spans="1:6" ht="86.25" customHeight="1" x14ac:dyDescent="0.2">
      <c r="A1050" s="4"/>
      <c r="B1050" s="4"/>
      <c r="C1050" s="4"/>
      <c r="D1050" s="4"/>
      <c r="E1050" s="4"/>
      <c r="F1050" s="4"/>
    </row>
    <row r="1051" spans="1:6" ht="86.25" customHeight="1" x14ac:dyDescent="0.2">
      <c r="A1051" s="4"/>
      <c r="B1051" s="4"/>
      <c r="C1051" s="4"/>
      <c r="D1051" s="4"/>
      <c r="E1051" s="4"/>
      <c r="F1051" s="4"/>
    </row>
    <row r="1052" spans="1:6" ht="86.25" customHeight="1" x14ac:dyDescent="0.2">
      <c r="A1052" s="4"/>
      <c r="B1052" s="4"/>
      <c r="C1052" s="4"/>
      <c r="D1052" s="4"/>
      <c r="E1052" s="4"/>
      <c r="F1052" s="4"/>
    </row>
    <row r="1053" spans="1:6" ht="86.25" customHeight="1" x14ac:dyDescent="0.2">
      <c r="A1053" s="4"/>
      <c r="B1053" s="4"/>
      <c r="C1053" s="4"/>
      <c r="D1053" s="4"/>
      <c r="E1053" s="4"/>
      <c r="F1053" s="4"/>
    </row>
    <row r="1054" spans="1:6" ht="86.25" customHeight="1" x14ac:dyDescent="0.2">
      <c r="A1054" s="4"/>
      <c r="B1054" s="4"/>
      <c r="C1054" s="4"/>
      <c r="D1054" s="4"/>
      <c r="E1054" s="4"/>
      <c r="F1054" s="4"/>
    </row>
    <row r="1055" spans="1:6" ht="86.25" customHeight="1" x14ac:dyDescent="0.2">
      <c r="A1055" s="4"/>
      <c r="B1055" s="4"/>
      <c r="C1055" s="4"/>
      <c r="D1055" s="4"/>
      <c r="E1055" s="4"/>
      <c r="F1055" s="4"/>
    </row>
    <row r="1056" spans="1:6" ht="86.25" customHeight="1" x14ac:dyDescent="0.2">
      <c r="A1056" s="4"/>
      <c r="B1056" s="4"/>
      <c r="C1056" s="4"/>
      <c r="D1056" s="4"/>
      <c r="E1056" s="4"/>
      <c r="F1056" s="4"/>
    </row>
    <row r="1057" spans="1:6" ht="86.25" customHeight="1" x14ac:dyDescent="0.2">
      <c r="A1057" s="4"/>
      <c r="B1057" s="4"/>
      <c r="C1057" s="4"/>
      <c r="D1057" s="4"/>
      <c r="E1057" s="4"/>
      <c r="F1057" s="4"/>
    </row>
    <row r="1058" spans="1:6" ht="86.25" customHeight="1" x14ac:dyDescent="0.2">
      <c r="A1058" s="4"/>
      <c r="B1058" s="4"/>
      <c r="C1058" s="4"/>
      <c r="D1058" s="4"/>
      <c r="E1058" s="4"/>
      <c r="F1058" s="4"/>
    </row>
    <row r="1059" spans="1:6" ht="86.25" customHeight="1" x14ac:dyDescent="0.2">
      <c r="A1059" s="4"/>
      <c r="B1059" s="4"/>
      <c r="C1059" s="4"/>
      <c r="D1059" s="4"/>
      <c r="E1059" s="4"/>
      <c r="F1059" s="4"/>
    </row>
    <row r="1060" spans="1:6" ht="86.25" customHeight="1" x14ac:dyDescent="0.2">
      <c r="A1060" s="4"/>
      <c r="B1060" s="4"/>
      <c r="C1060" s="4"/>
      <c r="D1060" s="4"/>
      <c r="E1060" s="4"/>
      <c r="F1060" s="4"/>
    </row>
    <row r="1061" spans="1:6" ht="86.25" customHeight="1" x14ac:dyDescent="0.2">
      <c r="A1061" s="4"/>
      <c r="B1061" s="4"/>
      <c r="C1061" s="4"/>
      <c r="D1061" s="4"/>
      <c r="E1061" s="4"/>
      <c r="F1061" s="4"/>
    </row>
    <row r="1062" spans="1:6" ht="86.25" customHeight="1" x14ac:dyDescent="0.2">
      <c r="A1062" s="4"/>
      <c r="B1062" s="4"/>
      <c r="C1062" s="4"/>
      <c r="D1062" s="4"/>
      <c r="E1062" s="4"/>
      <c r="F1062" s="4"/>
    </row>
    <row r="1063" spans="1:6" ht="86.25" customHeight="1" x14ac:dyDescent="0.2">
      <c r="A1063" s="4"/>
      <c r="B1063" s="4"/>
      <c r="C1063" s="4"/>
      <c r="D1063" s="4"/>
      <c r="E1063" s="4"/>
      <c r="F1063" s="4"/>
    </row>
    <row r="1064" spans="1:6" ht="86.25" customHeight="1" x14ac:dyDescent="0.2">
      <c r="A1064" s="4"/>
      <c r="B1064" s="4"/>
      <c r="C1064" s="4"/>
      <c r="D1064" s="4"/>
      <c r="E1064" s="4"/>
      <c r="F1064" s="4"/>
    </row>
    <row r="1065" spans="1:6" ht="86.25" customHeight="1" x14ac:dyDescent="0.2">
      <c r="A1065" s="4"/>
      <c r="B1065" s="4"/>
      <c r="C1065" s="4"/>
      <c r="D1065" s="4"/>
      <c r="E1065" s="4"/>
      <c r="F1065" s="4"/>
    </row>
    <row r="1066" spans="1:6" ht="86.25" customHeight="1" x14ac:dyDescent="0.2">
      <c r="A1066" s="4"/>
      <c r="B1066" s="4"/>
      <c r="C1066" s="4"/>
      <c r="D1066" s="4"/>
      <c r="E1066" s="4"/>
      <c r="F1066" s="4"/>
    </row>
    <row r="1067" spans="1:6" ht="86.25" customHeight="1" x14ac:dyDescent="0.2">
      <c r="A1067" s="4"/>
      <c r="B1067" s="4"/>
      <c r="C1067" s="4"/>
      <c r="D1067" s="4"/>
      <c r="E1067" s="4"/>
      <c r="F1067" s="4"/>
    </row>
    <row r="1068" spans="1:6" ht="86.25" customHeight="1" x14ac:dyDescent="0.2">
      <c r="A1068" s="4"/>
      <c r="B1068" s="4"/>
      <c r="C1068" s="4"/>
      <c r="D1068" s="4"/>
      <c r="E1068" s="4"/>
      <c r="F1068" s="4"/>
    </row>
    <row r="1069" spans="1:6" ht="86.25" customHeight="1" x14ac:dyDescent="0.2">
      <c r="A1069" s="4"/>
      <c r="B1069" s="4"/>
      <c r="C1069" s="4"/>
      <c r="D1069" s="4"/>
      <c r="E1069" s="4"/>
      <c r="F1069" s="4"/>
    </row>
    <row r="1070" spans="1:6" ht="86.25" customHeight="1" x14ac:dyDescent="0.2">
      <c r="A1070" s="4"/>
      <c r="B1070" s="4"/>
      <c r="C1070" s="4"/>
      <c r="D1070" s="4"/>
      <c r="E1070" s="4"/>
      <c r="F1070" s="4"/>
    </row>
    <row r="1071" spans="1:6" ht="86.25" customHeight="1" x14ac:dyDescent="0.2">
      <c r="A1071" s="4"/>
      <c r="B1071" s="4"/>
      <c r="C1071" s="4"/>
      <c r="D1071" s="4"/>
      <c r="E1071" s="4"/>
      <c r="F1071" s="4"/>
    </row>
    <row r="1072" spans="1:6" ht="86.25" customHeight="1" x14ac:dyDescent="0.2">
      <c r="A1072" s="4"/>
      <c r="B1072" s="4"/>
      <c r="C1072" s="4"/>
      <c r="D1072" s="4"/>
      <c r="E1072" s="4"/>
      <c r="F1072" s="4"/>
    </row>
    <row r="1073" spans="1:6" ht="86.25" customHeight="1" x14ac:dyDescent="0.2">
      <c r="A1073" s="4"/>
      <c r="B1073" s="4"/>
      <c r="C1073" s="4"/>
      <c r="D1073" s="4"/>
      <c r="E1073" s="4"/>
      <c r="F1073" s="4"/>
    </row>
    <row r="1074" spans="1:6" ht="86.25" customHeight="1" x14ac:dyDescent="0.2">
      <c r="A1074" s="4"/>
      <c r="B1074" s="4"/>
      <c r="C1074" s="4"/>
      <c r="D1074" s="4"/>
      <c r="E1074" s="4"/>
      <c r="F1074" s="4"/>
    </row>
    <row r="1075" spans="1:6" ht="86.25" customHeight="1" x14ac:dyDescent="0.2">
      <c r="A1075" s="4"/>
      <c r="B1075" s="4"/>
      <c r="C1075" s="4"/>
      <c r="D1075" s="4"/>
      <c r="E1075" s="4"/>
      <c r="F1075" s="4"/>
    </row>
    <row r="1076" spans="1:6" ht="86.25" customHeight="1" x14ac:dyDescent="0.2">
      <c r="A1076" s="4"/>
      <c r="B1076" s="4"/>
      <c r="C1076" s="4"/>
      <c r="D1076" s="4"/>
      <c r="E1076" s="4"/>
      <c r="F1076" s="4"/>
    </row>
    <row r="1077" spans="1:6" ht="86.25" customHeight="1" x14ac:dyDescent="0.2">
      <c r="A1077" s="4"/>
      <c r="B1077" s="4"/>
      <c r="C1077" s="4"/>
      <c r="D1077" s="4"/>
      <c r="E1077" s="4"/>
      <c r="F1077" s="4"/>
    </row>
    <row r="1078" spans="1:6" ht="86.25" customHeight="1" x14ac:dyDescent="0.2">
      <c r="A1078" s="4"/>
      <c r="B1078" s="4"/>
      <c r="C1078" s="4"/>
      <c r="D1078" s="4"/>
      <c r="E1078" s="4"/>
      <c r="F1078" s="4"/>
    </row>
    <row r="1079" spans="1:6" ht="86.25" customHeight="1" x14ac:dyDescent="0.2">
      <c r="A1079" s="4"/>
      <c r="B1079" s="4"/>
      <c r="C1079" s="4"/>
      <c r="D1079" s="4"/>
      <c r="E1079" s="4"/>
      <c r="F1079" s="4"/>
    </row>
    <row r="1080" spans="1:6" ht="86.25" customHeight="1" x14ac:dyDescent="0.2">
      <c r="A1080" s="4"/>
      <c r="B1080" s="4"/>
      <c r="C1080" s="4"/>
      <c r="D1080" s="4"/>
      <c r="E1080" s="4"/>
      <c r="F1080" s="4"/>
    </row>
    <row r="1081" spans="1:6" ht="86.25" customHeight="1" x14ac:dyDescent="0.2">
      <c r="A1081" s="4"/>
      <c r="B1081" s="4"/>
      <c r="C1081" s="4"/>
      <c r="D1081" s="4"/>
      <c r="E1081" s="4"/>
      <c r="F1081" s="4"/>
    </row>
    <row r="1082" spans="1:6" ht="86.25" customHeight="1" x14ac:dyDescent="0.2">
      <c r="A1082" s="4"/>
      <c r="B1082" s="4"/>
      <c r="C1082" s="4"/>
      <c r="D1082" s="4"/>
      <c r="E1082" s="4"/>
      <c r="F1082" s="4"/>
    </row>
    <row r="1083" spans="1:6" ht="86.25" customHeight="1" x14ac:dyDescent="0.2">
      <c r="A1083" s="4"/>
      <c r="B1083" s="4"/>
      <c r="C1083" s="4"/>
      <c r="D1083" s="4"/>
      <c r="E1083" s="4"/>
      <c r="F1083" s="4"/>
    </row>
    <row r="1084" spans="1:6" ht="86.25" customHeight="1" x14ac:dyDescent="0.2">
      <c r="A1084" s="4"/>
      <c r="B1084" s="4"/>
      <c r="C1084" s="4"/>
      <c r="D1084" s="4"/>
      <c r="E1084" s="4"/>
      <c r="F1084" s="4"/>
    </row>
    <row r="1085" spans="1:6" ht="86.25" customHeight="1" x14ac:dyDescent="0.2">
      <c r="A1085" s="4"/>
      <c r="B1085" s="4"/>
      <c r="C1085" s="4"/>
      <c r="D1085" s="4"/>
      <c r="E1085" s="4"/>
      <c r="F1085" s="4"/>
    </row>
    <row r="1086" spans="1:6" ht="86.25" customHeight="1" x14ac:dyDescent="0.2">
      <c r="A1086" s="4"/>
      <c r="B1086" s="4"/>
      <c r="C1086" s="4"/>
      <c r="D1086" s="4"/>
      <c r="E1086" s="4"/>
      <c r="F1086" s="4"/>
    </row>
    <row r="1087" spans="1:6" ht="86.25" customHeight="1" x14ac:dyDescent="0.2">
      <c r="A1087" s="4"/>
      <c r="B1087" s="4"/>
      <c r="C1087" s="4"/>
      <c r="D1087" s="4"/>
      <c r="E1087" s="4"/>
      <c r="F1087" s="4"/>
    </row>
    <row r="1088" spans="1:6" ht="86.25" customHeight="1" x14ac:dyDescent="0.2">
      <c r="A1088" s="4"/>
      <c r="B1088" s="4"/>
      <c r="C1088" s="4"/>
      <c r="D1088" s="4"/>
      <c r="E1088" s="4"/>
      <c r="F1088" s="4"/>
    </row>
    <row r="1089" spans="1:6" ht="86.25" customHeight="1" x14ac:dyDescent="0.2">
      <c r="A1089" s="4"/>
      <c r="B1089" s="4"/>
      <c r="C1089" s="4"/>
      <c r="D1089" s="4"/>
      <c r="E1089" s="4"/>
      <c r="F1089" s="4"/>
    </row>
    <row r="1090" spans="1:6" ht="86.25" customHeight="1" x14ac:dyDescent="0.2">
      <c r="A1090" s="4"/>
      <c r="B1090" s="4"/>
      <c r="C1090" s="4"/>
      <c r="D1090" s="4"/>
      <c r="E1090" s="4"/>
      <c r="F1090" s="4"/>
    </row>
    <row r="1091" spans="1:6" ht="86.25" customHeight="1" x14ac:dyDescent="0.2">
      <c r="A1091" s="4"/>
      <c r="B1091" s="4"/>
      <c r="C1091" s="4"/>
      <c r="D1091" s="4"/>
      <c r="E1091" s="4"/>
      <c r="F1091" s="4"/>
    </row>
    <row r="1092" spans="1:6" ht="86.25" customHeight="1" x14ac:dyDescent="0.2">
      <c r="A1092" s="4"/>
      <c r="B1092" s="4"/>
      <c r="C1092" s="4"/>
      <c r="D1092" s="4"/>
      <c r="E1092" s="4"/>
      <c r="F1092" s="4"/>
    </row>
  </sheetData>
  <customSheetViews>
    <customSheetView guid="{476E70A8-CF62-4C43-957B-247FFA2CB273}" filter="1" showAutoFilter="1">
      <pageMargins left="0.7" right="0.7" top="0.75" bottom="0.75" header="0.3" footer="0.3"/>
      <autoFilter ref="A1:K945" xr:uid="{9D6C7FDC-BCB5-4597-80EA-70D4AF17BAFA}"/>
    </customSheetView>
    <customSheetView guid="{56143D0F-82A8-48AB-AEA8-D4757A46D988}" filter="1" showAutoFilter="1">
      <pageMargins left="0.7" right="0.7" top="0.75" bottom="0.75" header="0.3" footer="0.3"/>
      <autoFilter ref="A1:K945" xr:uid="{10E3B322-6E5D-4784-84FA-51CF78BD9BFA}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0000"/>
    <outlinePr summaryBelow="0" summaryRight="0"/>
  </sheetPr>
  <dimension ref="A1:F1037"/>
  <sheetViews>
    <sheetView workbookViewId="0">
      <pane ySplit="1" topLeftCell="A2" activePane="bottomLeft" state="frozen"/>
      <selection pane="bottomLeft" activeCell="E3" sqref="E3"/>
    </sheetView>
  </sheetViews>
  <sheetFormatPr defaultColWidth="14.42578125" defaultRowHeight="44.25" customHeight="1" x14ac:dyDescent="0.2"/>
  <cols>
    <col min="1" max="1" width="31.5703125" customWidth="1"/>
    <col min="2" max="2" width="18.85546875" customWidth="1"/>
    <col min="3" max="3" width="18.5703125" customWidth="1"/>
    <col min="4" max="4" width="84" customWidth="1"/>
    <col min="5" max="5" width="26.28515625" customWidth="1"/>
  </cols>
  <sheetData>
    <row r="1" spans="1:6" ht="44.25" customHeight="1" x14ac:dyDescent="0.2">
      <c r="A1" s="2" t="s">
        <v>0</v>
      </c>
      <c r="B1" s="1" t="s">
        <v>1</v>
      </c>
      <c r="C1" s="2" t="s">
        <v>2</v>
      </c>
      <c r="D1" s="1" t="s">
        <v>4</v>
      </c>
      <c r="E1" s="1" t="s">
        <v>5</v>
      </c>
      <c r="F1" s="1" t="s">
        <v>3</v>
      </c>
    </row>
    <row r="2" spans="1:6" ht="44.25" customHeight="1" x14ac:dyDescent="0.2">
      <c r="A2" s="4" t="str">
        <f ca="1">IFERROR(__xludf.DUMMYFUNCTION("IMPORTRANGE(""https://docs.google.com/spreadsheets/d/1Max1SxwOvgBmOt3P7qh4ejq2WiUPU44TkMX293q2g4U/"",""Переходы!B3:H946"")"),"«1С: Розница 2.2»")</f>
        <v>«1С: Розница 2.2»</v>
      </c>
      <c r="B2" s="4" t="str">
        <f ca="1">IFERROR(__xludf.DUMMYFUNCTION("""COMPUTED_VALUE"""),"МИНИМУМ")</f>
        <v>МИНИМУМ</v>
      </c>
      <c r="C2" s="4" t="str">
        <f ca="1">IFERROR(__xludf.DUMMYFUNCTION("""COMPUTED_VALUE"""),"UP2-RTL15M-1CRZ22")</f>
        <v>UP2-RTL15M-1CRZ22</v>
      </c>
      <c r="D2" s="4" t="str">
        <f ca="1">IFERROR(__xludf.DUMMYFUNCTION("""COMPUTED_VALUE"""),"Переход на Mobile SMARTS: Магазин 15, МИНИМУМ для «1С: Розница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наст"&amp;"ройка,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МИНИМУМ для «1С: Розница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" s="4" t="str">
        <f ca="1">IFERROR(__xludf.DUMMYFUNCTION("""COMPUTED_VALUE"""),"Переход на Mobile SMARTS: Магазин 15, МИНИМУМ для «1С: Розница 2.2», для работы с товаром по штрихкодам ")</f>
        <v xml:space="preserve">Переход на Mobile SMARTS: Магазин 15, МИНИМУМ для «1С: Розница 2.2», для работы с товаром по штрихкодам </v>
      </c>
      <c r="F2" s="5">
        <f ca="1">IFERROR(__xludf.DUMMYFUNCTION("""COMPUTED_VALUE"""),1725)</f>
        <v>1725</v>
      </c>
    </row>
    <row r="3" spans="1:6" ht="44.25" customHeight="1" x14ac:dyDescent="0.2">
      <c r="A3" s="4" t="str">
        <f ca="1">IFERROR(__xludf.DUMMYFUNCTION("""COMPUTED_VALUE"""),"«1С: Розница 2.2»")</f>
        <v>«1С: Розница 2.2»</v>
      </c>
      <c r="B3" s="4" t="str">
        <f ca="1">IFERROR(__xludf.DUMMYFUNCTION("""COMPUTED_VALUE"""),"БАЗОВЫЙ")</f>
        <v>БАЗОВЫЙ</v>
      </c>
      <c r="C3" s="4" t="str">
        <f ca="1">IFERROR(__xludf.DUMMYFUNCTION("""COMPUTED_VALUE"""),"UP2-RTL15A-1CRZ22")</f>
        <v>UP2-RTL15A-1CRZ22</v>
      </c>
      <c r="D3" s="4" t="str">
        <f ca="1">IFERROR(__xludf.DUMMYFUNCTION("""COMPUTED_VALUE"""),"Переход на Mobile SMARTS: Магазин 15, БАЗОВЫЙ для «1С: Розница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печат"&amp;"ью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оп"&amp;"ераций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Розница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" s="4" t="str">
        <f ca="1">IFERROR(__xludf.DUMMYFUNCTION("""COMPUTED_VALUE"""),"Переход на Mobile SMARTS: Магазин 15, БАЗОВЫЙ для «1С: Розница 2.2», для работы с товаром по штрихкодам ")</f>
        <v xml:space="preserve">Переход на Mobile SMARTS: Магазин 15, БАЗОВЫЙ для «1С: Розница 2.2», для работы с товаром по штрихкодам </v>
      </c>
      <c r="F3" s="5">
        <f ca="1">IFERROR(__xludf.DUMMYFUNCTION("""COMPUTED_VALUE"""),4325)</f>
        <v>4325</v>
      </c>
    </row>
    <row r="4" spans="1:6" ht="44.25" customHeight="1" x14ac:dyDescent="0.2">
      <c r="A4" s="4" t="str">
        <f ca="1">IFERROR(__xludf.DUMMYFUNCTION("""COMPUTED_VALUE"""),"«1С: Розница 2.2»")</f>
        <v>«1С: Розница 2.2»</v>
      </c>
      <c r="B4" s="4" t="str">
        <f ca="1">IFERROR(__xludf.DUMMYFUNCTION("""COMPUTED_VALUE"""),"РАСШИРЕННЫЙ")</f>
        <v>РАСШИРЕННЫЙ</v>
      </c>
      <c r="C4" s="4" t="str">
        <f ca="1">IFERROR(__xludf.DUMMYFUNCTION("""COMPUTED_VALUE"""),"UP2-RTL15B-1CRZ22")</f>
        <v>UP2-RTL15B-1CRZ22</v>
      </c>
      <c r="D4" s="4" t="str">
        <f ca="1">IFERROR(__xludf.DUMMYFUNCTION("""COMPUTED_VALUE"""),"Переход на Mobile SMARTS: Магазин 15, РАСШИРЕННЫЙ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п"&amp;"ечатью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существующи"&amp;"х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" s="4" t="str">
        <f ca="1">IFERROR(__xludf.DUMMYFUNCTION("""COMPUTED_VALUE"""),"Переход на Mobile SMARTS: Магазин 15, РАСШИРЕННЫЙ для «1С: Розница 2.2», для работы с товаром по штрихкодам ")</f>
        <v xml:space="preserve">Переход на Mobile SMARTS: Магазин 15, РАСШИРЕННЫЙ для «1С: Розница 2.2», для работы с товаром по штрихкодам </v>
      </c>
      <c r="F4" s="5">
        <f ca="1">IFERROR(__xludf.DUMMYFUNCTION("""COMPUTED_VALUE"""),7525)</f>
        <v>7525</v>
      </c>
    </row>
    <row r="5" spans="1:6" ht="44.25" customHeight="1" x14ac:dyDescent="0.2">
      <c r="A5" s="4" t="str">
        <f ca="1">IFERROR(__xludf.DUMMYFUNCTION("""COMPUTED_VALUE"""),"«1С: Розница 2.2»")</f>
        <v>«1С: Розница 2.2»</v>
      </c>
      <c r="B5" s="4" t="str">
        <f ca="1">IFERROR(__xludf.DUMMYFUNCTION("""COMPUTED_VALUE"""),"МЕГАМАРКЕТ")</f>
        <v>МЕГАМАРКЕТ</v>
      </c>
      <c r="C5" s="4" t="str">
        <f ca="1">IFERROR(__xludf.DUMMYFUNCTION("""COMPUTED_VALUE"""),"UP2-RTL15C-1CRZ22")</f>
        <v>UP2-RTL15C-1CRZ22</v>
      </c>
      <c r="D5" s="4" t="str">
        <f ca="1">IFERROR(__xludf.DUMMYFUNCTION("""COMPUTED_VALUE"""),"Переход на Mobile SMARTS: Магазин 15, МЕГАМАРКЕТ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" s="4" t="str">
        <f ca="1">IFERROR(__xludf.DUMMYFUNCTION("""COMPUTED_VALUE"""),"Переход на Mobile SMARTS: Магазин 15, МЕГАМАРКЕТ для «1С: Розница 2.2», для работы с товаром по штрихкодам ")</f>
        <v xml:space="preserve">Переход на Mobile SMARTS: Магазин 15, МЕГАМАРКЕТ для «1С: Розница 2.2», для работы с товаром по штрихкодам </v>
      </c>
      <c r="F5" s="5">
        <f ca="1">IFERROR(__xludf.DUMMYFUNCTION("""COMPUTED_VALUE"""),10775)</f>
        <v>10775</v>
      </c>
    </row>
    <row r="6" spans="1:6" ht="44.25" customHeight="1" x14ac:dyDescent="0.2">
      <c r="A6" s="4" t="str">
        <f ca="1">IFERROR(__xludf.DUMMYFUNCTION("""COMPUTED_VALUE"""),"«1С: Розница 2.2»")</f>
        <v>«1С: Розница 2.2»</v>
      </c>
      <c r="B6" s="4" t="str">
        <f ca="1">IFERROR(__xludf.DUMMYFUNCTION("""COMPUTED_VALUE"""),"с ЕГАИС, БАЗОВЫЙ")</f>
        <v>с ЕГАИС, БАЗОВЫЙ</v>
      </c>
      <c r="C6" s="4" t="str">
        <f ca="1">IFERROR(__xludf.DUMMYFUNCTION("""COMPUTED_VALUE"""),"UP2-RTL15AE-1CRZ22")</f>
        <v>UP2-RTL15AE-1CRZ22</v>
      </c>
      <c r="D6" s="4" t="str">
        <f ca="1">IFERROR(__xludf.DUMMYFUNCTION("""COMPUTED_VALUE"""),"Переход на Mobile SMARTS: Магазин 15 с ЕГАИС, БАЗОВЫЙ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алк"&amp;"оголя,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"&amp;"товаре,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6" s="4" t="str">
        <f ca="1">IFERROR(__xludf.DUMMYFUNCTION("""COMPUTED_VALUE"""),"Переход на Mobile SMARTS: Магазин 15 с ЕГАИС, БАЗОВЫЙ для «1С: Розница 2.2», для работы с маркированным товаром: алкоголь ЕГАИС и товары по штрихкодам ")</f>
        <v xml:space="preserve">Переход на Mobile SMARTS: Магазин 15 с ЕГАИС, БАЗОВЫЙ для «1С: Розница 2.2», для работы с маркированным товаром: алкоголь ЕГАИС и товары по штрихкодам </v>
      </c>
      <c r="F6" s="5">
        <f ca="1">IFERROR(__xludf.DUMMYFUNCTION("""COMPUTED_VALUE"""),5500)</f>
        <v>5500</v>
      </c>
    </row>
    <row r="7" spans="1:6" ht="44.25" customHeight="1" x14ac:dyDescent="0.2">
      <c r="A7" s="4" t="str">
        <f ca="1">IFERROR(__xludf.DUMMYFUNCTION("""COMPUTED_VALUE"""),"«1С: Розница 2.2»")</f>
        <v>«1С: Розница 2.2»</v>
      </c>
      <c r="B7" s="4" t="str">
        <f ca="1">IFERROR(__xludf.DUMMYFUNCTION("""COMPUTED_VALUE"""),"с ЕГАИС, РАСШИРЕННЫЙ")</f>
        <v>с ЕГАИС, РАСШИРЕННЫЙ</v>
      </c>
      <c r="C7" s="4" t="str">
        <f ca="1">IFERROR(__xludf.DUMMYFUNCTION("""COMPUTED_VALUE"""),"UP2-RTL15BE-1CRZ22")</f>
        <v>UP2-RTL15BE-1CRZ22</v>
      </c>
      <c r="D7" s="4" t="str">
        <f ca="1">IFERROR(__xludf.DUMMYFUNCTION("""COMPUTED_VALUE"""),"Переход на Mobile SMARTS: Магазин 15 с ЕГАИС, РАСШИРЕННЫЙ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сбор"&amp;"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информаци"&amp;"я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РАСШИРЕННЫЙ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" s="4" t="str">
        <f ca="1">IFERROR(__xludf.DUMMYFUNCTION("""COMPUTED_VALUE"""),"Переход на Mobile SMARTS: Магазин 15 с ЕГАИС, РАСШИРЕННЫЙ для «1С: Розница 2.2»,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Розница 2.2», для работы с маркированным товаром: алкоголь ЕГАИС и товары по штрихкодам </v>
      </c>
      <c r="F7" s="5">
        <f ca="1">IFERROR(__xludf.DUMMYFUNCTION("""COMPUTED_VALUE"""),8725)</f>
        <v>8725</v>
      </c>
    </row>
    <row r="8" spans="1:6" ht="44.25" customHeight="1" x14ac:dyDescent="0.2">
      <c r="A8" s="4" t="str">
        <f ca="1">IFERROR(__xludf.DUMMYFUNCTION("""COMPUTED_VALUE"""),"«1С: Розница 2.2»")</f>
        <v>«1С: Розница 2.2»</v>
      </c>
      <c r="B8" s="4" t="str">
        <f ca="1">IFERROR(__xludf.DUMMYFUNCTION("""COMPUTED_VALUE"""),"с ЕГАИС (без CheckMark2), МЕГАМАРКЕТ")</f>
        <v>с ЕГАИС (без CheckMark2), МЕГАМАРКЕТ</v>
      </c>
      <c r="C8" s="4" t="str">
        <f ca="1">IFERROR(__xludf.DUMMYFUNCTION("""COMPUTED_VALUE"""),"UP2-RTL15CEV-1CRZ22")</f>
        <v>UP2-RTL15CEV-1CRZ22</v>
      </c>
      <c r="D8" s="4" t="str">
        <f ca="1">IFERROR(__xludf.DUMMYFUNCTION("""COMPUTED_VALUE"""),"Переход на Mobile SMARTS: Магазин 15 с ЕГАИС (без CheckMark2), МЕГАМАРКЕТ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доступны"&amp;"е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п"&amp;"ечать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Переход на Mobile SMARTS: Магазин 15 с ЕГАИС (без CheckMark2), МЕГАМАРКЕТ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" s="4" t="str">
        <f ca="1">IFERROR(__xludf.DUMMYFUNCTION("""COMPUTED_VALUE"""),"Переход на Mobile SMARTS: Магазин 15 с ЕГАИС (без CheckMark2), МЕГАМАРКЕТ для «1С: Розница 2.2»,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Розница 2.2», для работы с маркированным товаром: алкоголь ЕГАИС и товары по штрихкодам </v>
      </c>
      <c r="F8" s="5">
        <f ca="1">IFERROR(__xludf.DUMMYFUNCTION("""COMPUTED_VALUE"""),11925)</f>
        <v>11925</v>
      </c>
    </row>
    <row r="9" spans="1:6" ht="44.25" customHeight="1" x14ac:dyDescent="0.2">
      <c r="A9" s="4" t="str">
        <f ca="1">IFERROR(__xludf.DUMMYFUNCTION("""COMPUTED_VALUE"""),"«1С: Розница 2.3»")</f>
        <v>«1С: Розница 2.3»</v>
      </c>
      <c r="B9" s="4" t="str">
        <f ca="1">IFERROR(__xludf.DUMMYFUNCTION("""COMPUTED_VALUE"""),"МИНИМУМ")</f>
        <v>МИНИМУМ</v>
      </c>
      <c r="C9" s="4" t="str">
        <f ca="1">IFERROR(__xludf.DUMMYFUNCTION("""COMPUTED_VALUE"""),"UP2-RTL15M-1CRZ23")</f>
        <v>UP2-RTL15M-1CRZ23</v>
      </c>
      <c r="D9" s="4" t="str">
        <f ca="1">IFERROR(__xludf.DUMMYFUNCTION("""COMPUTED_VALUE"""),"Переход на Mobile SMARTS: Магазин 15, МИНИМУМ для «1С: Розница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наст"&amp;"ройка,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МИНИМУМ для «1С: Розница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" s="4" t="str">
        <f ca="1">IFERROR(__xludf.DUMMYFUNCTION("""COMPUTED_VALUE"""),"Переход на Mobile SMARTS: Магазин 15, МИНИМУМ для «1С: Розница 2.3», для работы с товаром по штрихкодам ")</f>
        <v xml:space="preserve">Переход на Mobile SMARTS: Магазин 15, МИНИМУМ для «1С: Розница 2.3», для работы с товаром по штрихкодам </v>
      </c>
      <c r="F9" s="5">
        <f ca="1">IFERROR(__xludf.DUMMYFUNCTION("""COMPUTED_VALUE"""),1725)</f>
        <v>1725</v>
      </c>
    </row>
    <row r="10" spans="1:6" ht="44.25" customHeight="1" x14ac:dyDescent="0.2">
      <c r="A10" s="4" t="str">
        <f ca="1">IFERROR(__xludf.DUMMYFUNCTION("""COMPUTED_VALUE"""),"«1С: Розница 2.3»")</f>
        <v>«1С: Розница 2.3»</v>
      </c>
      <c r="B10" s="4" t="str">
        <f ca="1">IFERROR(__xludf.DUMMYFUNCTION("""COMPUTED_VALUE"""),"БАЗОВЫЙ")</f>
        <v>БАЗОВЫЙ</v>
      </c>
      <c r="C10" s="4" t="str">
        <f ca="1">IFERROR(__xludf.DUMMYFUNCTION("""COMPUTED_VALUE"""),"UP2-RTL15A-1CRZ23")</f>
        <v>UP2-RTL15A-1CRZ23</v>
      </c>
      <c r="D10" s="4" t="str">
        <f ca="1">IFERROR(__xludf.DUMMYFUNCTION("""COMPUTED_VALUE"""),"Переход на Mobile SMARTS: Магазин 15, БАЗОВЫЙ для «1С: Розница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печат"&amp;"ью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оп"&amp;"ераций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Розница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" s="4" t="str">
        <f ca="1">IFERROR(__xludf.DUMMYFUNCTION("""COMPUTED_VALUE"""),"Переход на Mobile SMARTS: Магазин 15, БАЗОВЫЙ для «1С: Розница 2.3», для работы с товаром по штрихкодам ")</f>
        <v xml:space="preserve">Переход на Mobile SMARTS: Магазин 15, БАЗОВЫЙ для «1С: Розница 2.3», для работы с товаром по штрихкодам </v>
      </c>
      <c r="F10" s="5">
        <f ca="1">IFERROR(__xludf.DUMMYFUNCTION("""COMPUTED_VALUE"""),4325)</f>
        <v>4325</v>
      </c>
    </row>
    <row r="11" spans="1:6" ht="44.25" customHeight="1" x14ac:dyDescent="0.2">
      <c r="A11" s="4" t="str">
        <f ca="1">IFERROR(__xludf.DUMMYFUNCTION("""COMPUTED_VALUE"""),"«1С: Розница 2.3»")</f>
        <v>«1С: Розница 2.3»</v>
      </c>
      <c r="B11" s="4" t="str">
        <f ca="1">IFERROR(__xludf.DUMMYFUNCTION("""COMPUTED_VALUE"""),"РАСШИРЕННЫЙ")</f>
        <v>РАСШИРЕННЫЙ</v>
      </c>
      <c r="C11" s="4" t="str">
        <f ca="1">IFERROR(__xludf.DUMMYFUNCTION("""COMPUTED_VALUE"""),"UP2-RTL15B-1CRZ23")</f>
        <v>UP2-RTL15B-1CRZ23</v>
      </c>
      <c r="D11" s="4" t="str">
        <f ca="1">IFERROR(__xludf.DUMMYFUNCTION("""COMPUTED_VALUE"""),"Переход на Mobile SMARTS: Магазин 15, РАСШИРЕННЫЙ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п"&amp;"ечатью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существующи"&amp;"х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" s="4" t="str">
        <f ca="1">IFERROR(__xludf.DUMMYFUNCTION("""COMPUTED_VALUE"""),"Переход на Mobile SMARTS: Магазин 15, РАСШИРЕННЫЙ для «1С: Розница 2.3», для работы с товаром по штрихкодам ")</f>
        <v xml:space="preserve">Переход на Mobile SMARTS: Магазин 15, РАСШИРЕННЫЙ для «1С: Розница 2.3», для работы с товаром по штрихкодам </v>
      </c>
      <c r="F11" s="5">
        <f ca="1">IFERROR(__xludf.DUMMYFUNCTION("""COMPUTED_VALUE"""),7525)</f>
        <v>7525</v>
      </c>
    </row>
    <row r="12" spans="1:6" ht="44.25" customHeight="1" x14ac:dyDescent="0.2">
      <c r="A12" s="4" t="str">
        <f ca="1">IFERROR(__xludf.DUMMYFUNCTION("""COMPUTED_VALUE"""),"«1С: Розница 2.3»")</f>
        <v>«1С: Розница 2.3»</v>
      </c>
      <c r="B12" s="4" t="str">
        <f ca="1">IFERROR(__xludf.DUMMYFUNCTION("""COMPUTED_VALUE"""),"МЕГАМАРКЕТ")</f>
        <v>МЕГАМАРКЕТ</v>
      </c>
      <c r="C12" s="4" t="str">
        <f ca="1">IFERROR(__xludf.DUMMYFUNCTION("""COMPUTED_VALUE"""),"UP2-RTL15C-1CRZ23")</f>
        <v>UP2-RTL15C-1CRZ23</v>
      </c>
      <c r="D12" s="4" t="str">
        <f ca="1">IFERROR(__xludf.DUMMYFUNCTION("""COMPUTED_VALUE"""),"Переход на Mobile SMARTS: Магазин 15, МЕГАМАРКЕТ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" s="4" t="str">
        <f ca="1">IFERROR(__xludf.DUMMYFUNCTION("""COMPUTED_VALUE"""),"Переход на Mobile SMARTS: Магазин 15, МЕГАМАРКЕТ для «1С: Розница 2.3», для работы с товаром по штрихкодам ")</f>
        <v xml:space="preserve">Переход на Mobile SMARTS: Магазин 15, МЕГАМАРКЕТ для «1С: Розница 2.3», для работы с товаром по штрихкодам </v>
      </c>
      <c r="F12" s="5">
        <f ca="1">IFERROR(__xludf.DUMMYFUNCTION("""COMPUTED_VALUE"""),10775)</f>
        <v>10775</v>
      </c>
    </row>
    <row r="13" spans="1:6" ht="44.25" customHeight="1" x14ac:dyDescent="0.2">
      <c r="A13" s="4" t="str">
        <f ca="1">IFERROR(__xludf.DUMMYFUNCTION("""COMPUTED_VALUE"""),"«1С: Розница 2.3»")</f>
        <v>«1С: Розница 2.3»</v>
      </c>
      <c r="B13" s="4" t="str">
        <f ca="1">IFERROR(__xludf.DUMMYFUNCTION("""COMPUTED_VALUE"""),"с ЕГАИС, БАЗОВЫЙ")</f>
        <v>с ЕГАИС, БАЗОВЫЙ</v>
      </c>
      <c r="C13" s="4" t="str">
        <f ca="1">IFERROR(__xludf.DUMMYFUNCTION("""COMPUTED_VALUE"""),"UP2-RTL15AE-1CRZ23")</f>
        <v>UP2-RTL15AE-1CRZ23</v>
      </c>
      <c r="D13" s="4" t="str">
        <f ca="1">IFERROR(__xludf.DUMMYFUNCTION("""COMPUTED_VALUE"""),"Переход на Mobile SMARTS: Магазин 15 с ЕГАИС, БАЗОВЫЙ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алк"&amp;"оголя,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"&amp;"товаре,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3" s="4" t="str">
        <f ca="1">IFERROR(__xludf.DUMMYFUNCTION("""COMPUTED_VALUE"""),"Переход на Mobile SMARTS: Магазин 15 с ЕГАИС, БАЗОВЫЙ для «1С: Розница 2.3», для работы с маркированным товаром: алкоголь ЕГАИС и товары по штрихкодам ")</f>
        <v xml:space="preserve">Переход на Mobile SMARTS: Магазин 15 с ЕГАИС, БАЗОВЫЙ для «1С: Розница 2.3», для работы с маркированным товаром: алкоголь ЕГАИС и товары по штрихкодам </v>
      </c>
      <c r="F13" s="5">
        <f ca="1">IFERROR(__xludf.DUMMYFUNCTION("""COMPUTED_VALUE"""),5500)</f>
        <v>5500</v>
      </c>
    </row>
    <row r="14" spans="1:6" ht="44.25" customHeight="1" x14ac:dyDescent="0.2">
      <c r="A14" s="4" t="str">
        <f ca="1">IFERROR(__xludf.DUMMYFUNCTION("""COMPUTED_VALUE"""),"«1С: Розница 2.3»")</f>
        <v>«1С: Розница 2.3»</v>
      </c>
      <c r="B14" s="4" t="str">
        <f ca="1">IFERROR(__xludf.DUMMYFUNCTION("""COMPUTED_VALUE"""),"с ЕГАИС, РАСШИРЕННЫЙ")</f>
        <v>с ЕГАИС, РАСШИРЕННЫЙ</v>
      </c>
      <c r="C14" s="4" t="str">
        <f ca="1">IFERROR(__xludf.DUMMYFUNCTION("""COMPUTED_VALUE"""),"UP2-RTL15BE-1CRZ23")</f>
        <v>UP2-RTL15BE-1CRZ23</v>
      </c>
      <c r="D14" s="4" t="str">
        <f ca="1">IFERROR(__xludf.DUMMYFUNCTION("""COMPUTED_VALUE"""),"Переход на Mobile SMARTS: Магазин 15 с ЕГАИС, РАСШИРЕННЫЙ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сбор"&amp;"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информаци"&amp;"я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РАСШИРЕННЫЙ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" s="4" t="str">
        <f ca="1">IFERROR(__xludf.DUMMYFUNCTION("""COMPUTED_VALUE"""),"Переход на Mobile SMARTS: Магазин 15 с ЕГАИС, РАСШИРЕННЫЙ для «1С: Розница 2.3»,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Розница 2.3», для работы с маркированным товаром: алкоголь ЕГАИС и товары по штрихкодам </v>
      </c>
      <c r="F14" s="5">
        <f ca="1">IFERROR(__xludf.DUMMYFUNCTION("""COMPUTED_VALUE"""),8725)</f>
        <v>8725</v>
      </c>
    </row>
    <row r="15" spans="1:6" ht="44.25" customHeight="1" x14ac:dyDescent="0.2">
      <c r="A15" s="4" t="str">
        <f ca="1">IFERROR(__xludf.DUMMYFUNCTION("""COMPUTED_VALUE"""),"«1С: Розница 2.3»")</f>
        <v>«1С: Розница 2.3»</v>
      </c>
      <c r="B15" s="4" t="str">
        <f ca="1">IFERROR(__xludf.DUMMYFUNCTION("""COMPUTED_VALUE"""),"с ЕГАИС (без CheckMark2), МЕГАМАРКЕТ")</f>
        <v>с ЕГАИС (без CheckMark2), МЕГАМАРКЕТ</v>
      </c>
      <c r="C15" s="4" t="str">
        <f ca="1">IFERROR(__xludf.DUMMYFUNCTION("""COMPUTED_VALUE"""),"UP2-RTL15CEV-1CRZ23")</f>
        <v>UP2-RTL15CEV-1CRZ23</v>
      </c>
      <c r="D15" s="4" t="str">
        <f ca="1">IFERROR(__xludf.DUMMYFUNCTION("""COMPUTED_VALUE"""),"Переход на Mobile SMARTS: Магазин 15 с ЕГАИС (без CheckMark2), МЕГАМАРКЕТ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доступны"&amp;"е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п"&amp;"ечать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Переход на Mobile SMARTS: Магазин 15 с ЕГАИС (без CheckMark2), МЕГАМАРКЕТ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" s="4" t="str">
        <f ca="1">IFERROR(__xludf.DUMMYFUNCTION("""COMPUTED_VALUE"""),"Переход на Mobile SMARTS: Магазин 15 с ЕГАИС (без CheckMark2), МЕГАМАРКЕТ для «1С: Розница 2.3»,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Розница 2.3», для работы с маркированным товаром: алкоголь ЕГАИС и товары по штрихкодам </v>
      </c>
      <c r="F15" s="5">
        <f ca="1">IFERROR(__xludf.DUMMYFUNCTION("""COMPUTED_VALUE"""),11925)</f>
        <v>11925</v>
      </c>
    </row>
    <row r="16" spans="1:6" ht="44.25" customHeight="1" x14ac:dyDescent="0.2">
      <c r="A16" s="4" t="str">
        <f ca="1">IFERROR(__xludf.DUMMYFUNCTION("""COMPUTED_VALUE"""),"«1С: Розница 2.3.3»")</f>
        <v>«1С: Розница 2.3.3»</v>
      </c>
      <c r="B16" s="4" t="str">
        <f ca="1">IFERROR(__xludf.DUMMYFUNCTION("""COMPUTED_VALUE"""),"с МОТП, БАЗОВЫЙ")</f>
        <v>с МОТП, БАЗОВЫЙ</v>
      </c>
      <c r="C16" s="4" t="str">
        <f ca="1">IFERROR(__xludf.DUMMYFUNCTION("""COMPUTED_VALUE"""),"UP2-RTL15AT-1CRZ23")</f>
        <v>UP2-RTL15AT-1CRZ23</v>
      </c>
      <c r="D16" s="4" t="str">
        <f ca="1">IFERROR(__xludf.DUMMYFUNCTION("""COMPUTED_VALUE"""),"Переход на Mobile SMARTS: Магазин 15 с МОТП, БАЗОВЫЙ для «1С: Розница 2.3.3»,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т"&amp;".ч.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то"&amp;"варе,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«1С: Розница 2.3.3»,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" s="4" t="str">
        <f ca="1">IFERROR(__xludf.DUMMYFUNCTION("""COMPUTED_VALUE"""),"Переход на Mobile SMARTS: Магазин 15 с МОТП, БАЗОВЫЙ для «1С: Розница 2.3.3», для работы с маркированным товаром: ТАБАК и товары по штрихкодам ")</f>
        <v xml:space="preserve">Переход на Mobile SMARTS: Магазин 15 с МОТП, БАЗОВЫЙ для «1С: Розница 2.3.3», для работы с маркированным товаром: ТАБАК и товары по штрихкодам </v>
      </c>
      <c r="F16" s="5">
        <f ca="1">IFERROR(__xludf.DUMMYFUNCTION("""COMPUTED_VALUE"""),5575)</f>
        <v>5575</v>
      </c>
    </row>
    <row r="17" spans="1:6" ht="44.25" customHeight="1" x14ac:dyDescent="0.2">
      <c r="A17" s="4" t="str">
        <f ca="1">IFERROR(__xludf.DUMMYFUNCTION("""COMPUTED_VALUE"""),"«1С: Розница 2.3.3»")</f>
        <v>«1С: Розница 2.3.3»</v>
      </c>
      <c r="B17" s="4" t="str">
        <f ca="1">IFERROR(__xludf.DUMMYFUNCTION("""COMPUTED_VALUE"""),"с МОТП, РАСШИРЕННЫЙ")</f>
        <v>с МОТП, РАСШИРЕННЫЙ</v>
      </c>
      <c r="C17" s="4" t="str">
        <f ca="1">IFERROR(__xludf.DUMMYFUNCTION("""COMPUTED_VALUE"""),"UP2-RTL15BT-1CRZ23")</f>
        <v>UP2-RTL15BT-1CRZ23</v>
      </c>
      <c r="D17" s="4" t="str">
        <f ca="1">IFERROR(__xludf.DUMMYFUNCTION("""COMPUTED_VALUE"""),"Переход на Mobile SMARTS: Магазин 15 с МОТП, РАСШИРЕННЫЙ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"&amp;"(в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"&amp;"о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РАСШИРЕННЫЙ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" s="4" t="str">
        <f ca="1">IFERROR(__xludf.DUMMYFUNCTION("""COMPUTED_VALUE"""),"Переход на Mobile SMARTS: Магазин 15 с МОТП, РАСШИРЕННЫЙ для «1С: Розница 2.3.3», для работы с маркированным товаром: ТАБАК и товары по штрихкодам ")</f>
        <v xml:space="preserve">Переход на Mobile SMARTS: Магазин 15 с МОТП, РАСШИРЕННЫЙ для «1С: Розница 2.3.3», для работы с маркированным товаром: ТАБАК и товары по штрихкодам </v>
      </c>
      <c r="F17" s="5">
        <f ca="1">IFERROR(__xludf.DUMMYFUNCTION("""COMPUTED_VALUE"""),8725)</f>
        <v>8725</v>
      </c>
    </row>
    <row r="18" spans="1:6" ht="44.25" customHeight="1" x14ac:dyDescent="0.2">
      <c r="A18" s="4" t="str">
        <f ca="1">IFERROR(__xludf.DUMMYFUNCTION("""COMPUTED_VALUE"""),"«1С: Розница 2.3.3»")</f>
        <v>«1С: Розница 2.3.3»</v>
      </c>
      <c r="B18" s="4" t="str">
        <f ca="1">IFERROR(__xludf.DUMMYFUNCTION("""COMPUTED_VALUE"""),"с МОТП, МЕГАМАРКЕТ")</f>
        <v>с МОТП, МЕГАМАРКЕТ</v>
      </c>
      <c r="C18" s="4" t="str">
        <f ca="1">IFERROR(__xludf.DUMMYFUNCTION("""COMPUTED_VALUE"""),"UP2-RTL15CT-1CRZ23")</f>
        <v>UP2-RTL15CT-1CRZ23</v>
      </c>
      <c r="D18" s="4" t="str">
        <f ca="1">IFERROR(__xludf.DUMMYFUNCTION("""COMPUTED_VALUE"""),"Переход на Mobile SMARTS: Магазин 15 с МОТП, МЕГАМАРКЕТ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("&amp;"в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коллективная"&amp;"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 с МОТП, МЕГАМАРКЕТ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" s="4" t="str">
        <f ca="1">IFERROR(__xludf.DUMMYFUNCTION("""COMPUTED_VALUE"""),"Переход на Mobile SMARTS: Магазин 15 с МОТП, МЕГАМАРКЕТ для «1С: Розница 2.3.3», для работы с маркированным товаром: ТАБАК и товары по штрихкодам ")</f>
        <v xml:space="preserve">Переход на Mobile SMARTS: Магазин 15 с МОТП, МЕГАМАРКЕТ для «1С: Розница 2.3.3», для работы с маркированным товаром: ТАБАК и товары по штрихкодам </v>
      </c>
      <c r="F18" s="5">
        <f ca="1">IFERROR(__xludf.DUMMYFUNCTION("""COMPUTED_VALUE"""),11925)</f>
        <v>11925</v>
      </c>
    </row>
    <row r="19" spans="1:6" ht="44.25" customHeight="1" x14ac:dyDescent="0.2">
      <c r="A19" s="4" t="str">
        <f ca="1">IFERROR(__xludf.DUMMYFUNCTION("""COMPUTED_VALUE"""),"«1С: Розница 2.3.3»")</f>
        <v>«1С: Розница 2.3.3»</v>
      </c>
      <c r="B19" s="4" t="str">
        <f ca="1">IFERROR(__xludf.DUMMYFUNCTION("""COMPUTED_VALUE"""),"с ЕГАИС и МОТП, БАЗОВЫЙ")</f>
        <v>с ЕГАИС и МОТП, БАЗОВЫЙ</v>
      </c>
      <c r="C19" s="4" t="str">
        <f ca="1">IFERROR(__xludf.DUMMYFUNCTION("""COMPUTED_VALUE"""),"UP2-RTL15AET-1CRZ23")</f>
        <v>UP2-RTL15AET-1CRZ23</v>
      </c>
      <c r="D19" s="4" t="str">
        <f ca="1">IFERROR(__xludf.DUMMYFUNCTION("""COMPUTED_VALUE"""),"Переход на Mobile SMARTS: Магазин 15 с ЕГАИС и МОТП, БАЗОВЫЙ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операции"&amp;":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штрихк"&amp;"одов,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возм"&amp;"ожность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" s="4" t="str">
        <f ca="1">IFERROR(__xludf.DUMMYFUNCTION("""COMPUTED_VALUE"""),"Переход на Mobile SMARTS: Магазин 15 с ЕГАИС и МОТП, БАЗОВЫЙ для «1С: Розница 2.3.3»,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Розница 2.3.3», для работы с маркированным товаром: АЛКОГОЛЬ, ТАБАК и товары по штрихкодам </v>
      </c>
      <c r="F19" s="5">
        <f ca="1">IFERROR(__xludf.DUMMYFUNCTION("""COMPUTED_VALUE"""),6075)</f>
        <v>6075</v>
      </c>
    </row>
    <row r="20" spans="1:6" ht="44.25" customHeight="1" x14ac:dyDescent="0.2">
      <c r="A20" s="4" t="str">
        <f ca="1">IFERROR(__xludf.DUMMYFUNCTION("""COMPUTED_VALUE"""),"«1С: Розница 2.3.3»")</f>
        <v>«1С: Розница 2.3.3»</v>
      </c>
      <c r="B20" s="4" t="str">
        <f ca="1">IFERROR(__xludf.DUMMYFUNCTION("""COMPUTED_VALUE"""),"с ЕГАИС и МОТП, РАСШИРЕННЫЙ")</f>
        <v>с ЕГАИС и МОТП, РАСШИРЕННЫЙ</v>
      </c>
      <c r="C20" s="4" t="str">
        <f ca="1">IFERROR(__xludf.DUMMYFUNCTION("""COMPUTED_VALUE"""),"UP2-RTL15BET-1CRZ23")</f>
        <v>UP2-RTL15BET-1CRZ23</v>
      </c>
      <c r="D20" s="4" t="str">
        <f ca="1">IFERROR(__xludf.DUMMYFUNCTION("""COMPUTED_VALUE"""),"Переход на Mobile SMARTS: Магазин 15 с ЕГАИС и МОТП, РАСШИРЕННЫЙ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опер"&amp;"ации: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"&amp;"возможность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" s="4" t="str">
        <f ca="1">IFERROR(__xludf.DUMMYFUNCTION("""COMPUTED_VALUE"""),"Переход на Mobile SMARTS: Магазин 15 с ЕГАИС и МОТП, РАСШИРЕННЫЙ для «1С: Розница 2.3.3»,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Розница 2.3.3», для работы с маркированным товаром: АЛКОГОЛЬ, ТАБАК и товары по штрихкодам </v>
      </c>
      <c r="F20" s="5">
        <f ca="1">IFERROR(__xludf.DUMMYFUNCTION("""COMPUTED_VALUE"""),9275)</f>
        <v>9275</v>
      </c>
    </row>
    <row r="21" spans="1:6" ht="44.25" customHeight="1" x14ac:dyDescent="0.2">
      <c r="A21" s="4" t="str">
        <f ca="1">IFERROR(__xludf.DUMMYFUNCTION("""COMPUTED_VALUE"""),"«1С: Розница 2.3.3»")</f>
        <v>«1С: Розница 2.3.3»</v>
      </c>
      <c r="B21" s="4" t="str">
        <f ca="1">IFERROR(__xludf.DUMMYFUNCTION("""COMPUTED_VALUE"""),"с ЕГАИС и МОТП, МЕГАМАРКЕТ")</f>
        <v>с ЕГАИС и МОТП, МЕГАМАРКЕТ</v>
      </c>
      <c r="C21" s="4" t="str">
        <f ca="1">IFERROR(__xludf.DUMMYFUNCTION("""COMPUTED_VALUE"""),"UP2-RTL15CET-1CRZ23")</f>
        <v>UP2-RTL15CET-1CRZ23</v>
      </c>
      <c r="D21" s="4" t="str">
        <f ca="1">IFERROR(__xludf.DUMMYFUNCTION("""COMPUTED_VALUE"""),"Переход на Mobile SMARTS: Магазин 15 с ЕГАИС и МОТП, МЕГАМАРКЕТ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опера"&amp;"ции: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штр"&amp;"ихкодов,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" s="4" t="str">
        <f ca="1">IFERROR(__xludf.DUMMYFUNCTION("""COMPUTED_VALUE"""),"Переход на Mobile SMARTS: Магазин 15 с ЕГАИС и МОТП, МЕГАМАРКЕТ для «1С: Розница 2.3.3»,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Розница 2.3.3», для работы с маркированным товаром: АЛКОГОЛЬ, ТАБАК и товары по штрихкодам </v>
      </c>
      <c r="F21" s="5">
        <f ca="1">IFERROR(__xludf.DUMMYFUNCTION("""COMPUTED_VALUE"""),13175)</f>
        <v>13175</v>
      </c>
    </row>
    <row r="22" spans="1:6" ht="44.25" customHeight="1" x14ac:dyDescent="0.2">
      <c r="A22" s="4" t="str">
        <f ca="1">IFERROR(__xludf.DUMMYFUNCTION("""COMPUTED_VALUE"""),"«1С: Розница 2.3.3»")</f>
        <v>«1С: Розница 2.3.3»</v>
      </c>
      <c r="B22" s="4" t="str">
        <f ca="1">IFERROR(__xludf.DUMMYFUNCTION("""COMPUTED_VALUE"""),"ШМОТКИ, БАЗОВЫЙ")</f>
        <v>ШМОТКИ, БАЗОВЫЙ</v>
      </c>
      <c r="C22" s="4" t="str">
        <f ca="1">IFERROR(__xludf.DUMMYFUNCTION("""COMPUTED_VALUE"""),"UP2-RTL15AK-1CRZ23")</f>
        <v>UP2-RTL15AK-1CRZ23</v>
      </c>
      <c r="D22" s="4" t="str">
        <f ca="1">IFERROR(__xludf.DUMMYFUNCTION("""COMPUTED_VALUE"""),"Переход на Mobile SMARTS: Магазин 15 ШМОТКИ, БАЗОВЫЙ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опер"&amp;"ации: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возмож"&amp;"ности: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(од"&amp;"ин) год")</f>
        <v>Переход на Mobile SMARTS: Магазин 15 ШМОТКИ, БАЗОВЫЙ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" s="4" t="str">
        <f ca="1">IFERROR(__xludf.DUMMYFUNCTION("""COMPUTED_VALUE"""),"Переход на Mobile SMARTS: Магазин 15 ШМОТКИ, БАЗОВЫЙ для «1С: Розница 2.3.3»,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Розница 2.3.3», для работы с маркированным товаром: ОБУВЬ, ОДЕЖДА, ПАРФЮМ, ШИНЫ и товары по штрихкодам </v>
      </c>
      <c r="F22" s="5">
        <f ca="1">IFERROR(__xludf.DUMMYFUNCTION("""COMPUTED_VALUE"""),6075)</f>
        <v>6075</v>
      </c>
    </row>
    <row r="23" spans="1:6" ht="44.25" customHeight="1" x14ac:dyDescent="0.2">
      <c r="A23" s="4" t="str">
        <f ca="1">IFERROR(__xludf.DUMMYFUNCTION("""COMPUTED_VALUE"""),"«1С: Розница 2.3.3»")</f>
        <v>«1С: Розница 2.3.3»</v>
      </c>
      <c r="B23" s="4" t="str">
        <f ca="1">IFERROR(__xludf.DUMMYFUNCTION("""COMPUTED_VALUE"""),"ШМОТКИ, РАСШИРЕННЫЙ")</f>
        <v>ШМОТКИ, РАСШИРЕННЫЙ</v>
      </c>
      <c r="C23" s="4" t="str">
        <f ca="1">IFERROR(__xludf.DUMMYFUNCTION("""COMPUTED_VALUE"""),"UP2-RTL15BK-1CRZ23")</f>
        <v>UP2-RTL15BK-1CRZ23</v>
      </c>
      <c r="D23" s="4" t="str">
        <f ca="1">IFERROR(__xludf.DUMMYFUNCTION("""COMPUTED_VALUE"""),"Переход на Mobile SMARTS: Магазин 15 ШМОТКИ, РАСШИРЕННЫЙ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Переход на Mobile SMARTS: Магазин 15 ШМОТКИ, РАСШИРЕННЫЙ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" s="4" t="str">
        <f ca="1">IFERROR(__xludf.DUMMYFUNCTION("""COMPUTED_VALUE"""),"Переход на Mobile SMARTS: Магазин 15 ШМОТКИ, РАСШИРЕННЫЙ для «1С: Розница 2.3.3»,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Розница 2.3.3», для работы с маркированным товаром: ОБУВЬ, ОДЕЖДА, ПАРФЮМ, ШИНЫ и товары по штрихкодам </v>
      </c>
      <c r="F23" s="5">
        <f ca="1">IFERROR(__xludf.DUMMYFUNCTION("""COMPUTED_VALUE"""),9275)</f>
        <v>9275</v>
      </c>
    </row>
    <row r="24" spans="1:6" ht="44.25" customHeight="1" x14ac:dyDescent="0.2">
      <c r="A24" s="4" t="str">
        <f ca="1">IFERROR(__xludf.DUMMYFUNCTION("""COMPUTED_VALUE"""),"«1С: Розница 2.3.3»")</f>
        <v>«1С: Розница 2.3.3»</v>
      </c>
      <c r="B24" s="4" t="str">
        <f ca="1">IFERROR(__xludf.DUMMYFUNCTION("""COMPUTED_VALUE"""),"ШМОТКИ, МЕГАМАРКЕТ")</f>
        <v>ШМОТКИ, МЕГАМАРКЕТ</v>
      </c>
      <c r="C24" s="4" t="str">
        <f ca="1">IFERROR(__xludf.DUMMYFUNCTION("""COMPUTED_VALUE"""),"UP2-RTL15CK-1CRZ23")</f>
        <v>UP2-RTL15CK-1CRZ23</v>
      </c>
      <c r="D24" s="4" t="str">
        <f ca="1">IFERROR(__xludf.DUMMYFUNCTION("""COMPUTED_VALUE"""),"Переход на Mobile SMARTS: Магазин 15 ШМОТКИ, МЕГАМАРКЕТ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Переход на Mobile SMARTS: Магазин 15 ШМОТКИ, МЕГАМАРКЕТ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" s="4" t="str">
        <f ca="1">IFERROR(__xludf.DUMMYFUNCTION("""COMPUTED_VALUE"""),"Переход на Mobile SMARTS: Магазин 15 ШМОТКИ, МЕГАМАРКЕТ для «1С: Розница 2.3.3»,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Розница 2.3.3», для работы с маркированным товаром: ОБУВЬ, ОДЕЖДА, ПАРФЮМ, ШИНЫ и товары по штрихкодам </v>
      </c>
      <c r="F24" s="5">
        <f ca="1">IFERROR(__xludf.DUMMYFUNCTION("""COMPUTED_VALUE"""),13175)</f>
        <v>13175</v>
      </c>
    </row>
    <row r="25" spans="1:6" ht="44.25" customHeight="1" x14ac:dyDescent="0.2">
      <c r="A25" s="4" t="str">
        <f ca="1">IFERROR(__xludf.DUMMYFUNCTION("""COMPUTED_VALUE"""),"«1С: Розница 2.3.3»")</f>
        <v>«1С: Розница 2.3.3»</v>
      </c>
      <c r="B25" s="4" t="str">
        <f ca="1">IFERROR(__xludf.DUMMYFUNCTION("""COMPUTED_VALUE"""),"ПРОДУКТОВЫЙ, БАЗОВЫЙ")</f>
        <v>ПРОДУКТОВЫЙ, БАЗОВЫЙ</v>
      </c>
      <c r="C25" s="4" t="str">
        <f ca="1">IFERROR(__xludf.DUMMYFUNCTION("""COMPUTED_VALUE"""),"UP2-RTL15AG-1CRZ23")</f>
        <v>UP2-RTL15AG-1CRZ23</v>
      </c>
      <c r="D25" s="4" t="str">
        <f ca="1">IFERROR(__xludf.DUMMYFUNCTION("""COMPUTED_VALUE"""),"Переход на 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чере"&amp;"з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т"&amp;".ч.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" s="4" t="str">
        <f ca="1">IFERROR(__xludf.DUMMYFUNCTION("""COMPUTED_VALUE"""),"Переход на 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</v>
      </c>
      <c r="F25" s="5">
        <f ca="1">IFERROR(__xludf.DUMMYFUNCTION("""COMPUTED_VALUE"""),7275)</f>
        <v>7275</v>
      </c>
    </row>
    <row r="26" spans="1:6" ht="44.25" customHeight="1" x14ac:dyDescent="0.2">
      <c r="A26" s="4" t="str">
        <f ca="1">IFERROR(__xludf.DUMMYFUNCTION("""COMPUTED_VALUE"""),"«1С: Розница 2.3.3»")</f>
        <v>«1С: Розница 2.3.3»</v>
      </c>
      <c r="B26" s="4" t="str">
        <f ca="1">IFERROR(__xludf.DUMMYFUNCTION("""COMPUTED_VALUE"""),"ПРОДУКТОВЫЙ, РАСШИРЕННЫЙ")</f>
        <v>ПРОДУКТОВЫЙ, РАСШИРЕННЫЙ</v>
      </c>
      <c r="C26" s="4" t="str">
        <f ca="1">IFERROR(__xludf.DUMMYFUNCTION("""COMPUTED_VALUE"""),"UP2-RTL15BG-1CRZ23")</f>
        <v>UP2-RTL15BG-1CRZ23</v>
      </c>
      <c r="D26" s="4" t="str">
        <f ca="1">IFERROR(__xludf.DUMMYFUNCTION("""COMPUTED_VALUE"""),"Переход на 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"&amp;"через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" s="4" t="str">
        <f ca="1">IFERROR(__xludf.DUMMYFUNCTION("""COMPUTED_VALUE"""),"Переход на 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</v>
      </c>
      <c r="F26" s="5">
        <f ca="1">IFERROR(__xludf.DUMMYFUNCTION("""COMPUTED_VALUE"""),10475)</f>
        <v>10475</v>
      </c>
    </row>
    <row r="27" spans="1:6" ht="44.25" customHeight="1" x14ac:dyDescent="0.2">
      <c r="A27" s="4" t="str">
        <f ca="1">IFERROR(__xludf.DUMMYFUNCTION("""COMPUTED_VALUE"""),"«1С: Розница 2.3.3»")</f>
        <v>«1С: Розница 2.3.3»</v>
      </c>
      <c r="B27" s="4" t="str">
        <f ca="1">IFERROR(__xludf.DUMMYFUNCTION("""COMPUTED_VALUE"""),"ПРОДУКТОВЫЙ, МЕГАМАРКЕТ")</f>
        <v>ПРОДУКТОВЫЙ, МЕГАМАРКЕТ</v>
      </c>
      <c r="C27" s="4" t="str">
        <f ca="1">IFERROR(__xludf.DUMMYFUNCTION("""COMPUTED_VALUE"""),"UP2-RTL15CG-1CRZ23")</f>
        <v>UP2-RTL15CG-1CRZ23</v>
      </c>
      <c r="D27" s="4" t="str">
        <f ca="1">IFERROR(__xludf.DUMMYFUNCTION("""COMPUTED_VALUE"""),"Переход на 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ч"&amp;"ерез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("&amp;"в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контрагентах"&amp;",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" s="4" t="str">
        <f ca="1">IFERROR(__xludf.DUMMYFUNCTION("""COMPUTED_VALUE"""),"Переход на 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</v>
      </c>
      <c r="F27" s="5">
        <f ca="1">IFERROR(__xludf.DUMMYFUNCTION("""COMPUTED_VALUE"""),14125)</f>
        <v>14125</v>
      </c>
    </row>
    <row r="28" spans="1:6" ht="44.25" customHeight="1" x14ac:dyDescent="0.2">
      <c r="A28" s="4" t="str">
        <f ca="1">IFERROR(__xludf.DUMMYFUNCTION("""COMPUTED_VALUE"""),"«1С: Управление небольшой фирмой 1.6»")</f>
        <v>«1С: Управление небольшой фирмой 1.6»</v>
      </c>
      <c r="B28" s="4" t="str">
        <f ca="1">IFERROR(__xludf.DUMMYFUNCTION("""COMPUTED_VALUE"""),"МИНИМУМ")</f>
        <v>МИНИМУМ</v>
      </c>
      <c r="C28" s="4" t="str">
        <f ca="1">IFERROR(__xludf.DUMMYFUNCTION("""COMPUTED_VALUE"""),"UP2-RTL15M-1CUNF16")</f>
        <v>UP2-RTL15M-1CUNF16</v>
      </c>
      <c r="D28" s="4" t="str">
        <f ca="1">IFERROR(__xludf.DUMMYFUNCTION("""COMPUTED_VALUE"""),"Переход на Mobile SMARTS: Магазин 15, МИНИМУМ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пр"&amp;"осмотр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Инте"&amp;"рнет на 1 (один) год")</f>
        <v>Переход на Mobile SMARTS: Магазин 15, МИНИМУМ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8" s="4" t="str">
        <f ca="1">IFERROR(__xludf.DUMMYFUNCTION("""COMPUTED_VALUE"""),"Переход на Mobile SMARTS: Магазин 15, МИНИМУМ для «1С: Управление небольшой фирмой 1.6», для работы с товаром по штрихкодам ")</f>
        <v xml:space="preserve">Переход на Mobile SMARTS: Магазин 15, МИНИМУМ для «1С: Управление небольшой фирмой 1.6», для работы с товаром по штрихкодам </v>
      </c>
      <c r="F28" s="5">
        <f ca="1">IFERROR(__xludf.DUMMYFUNCTION("""COMPUTED_VALUE"""),1725)</f>
        <v>1725</v>
      </c>
    </row>
    <row r="29" spans="1:6" ht="44.25" customHeight="1" x14ac:dyDescent="0.2">
      <c r="A29" s="4" t="str">
        <f ca="1">IFERROR(__xludf.DUMMYFUNCTION("""COMPUTED_VALUE"""),"«1С: Управление небольшой фирмой 1.6»")</f>
        <v>«1С: Управление небольшой фирмой 1.6»</v>
      </c>
      <c r="B29" s="4" t="str">
        <f ca="1">IFERROR(__xludf.DUMMYFUNCTION("""COMPUTED_VALUE"""),"БАЗОВЫЙ")</f>
        <v>БАЗОВЫЙ</v>
      </c>
      <c r="C29" s="4" t="str">
        <f ca="1">IFERROR(__xludf.DUMMYFUNCTION("""COMPUTED_VALUE"""),"UP2-RTL15A-1CUNF16")</f>
        <v>UP2-RTL15A-1CUNF16</v>
      </c>
      <c r="D29" s="4" t="str">
        <f ca="1">IFERROR(__xludf.DUMMYFUNCTION("""COMPUTED_VALUE"""),"Переход на Mobile SMARTS: Магазин 15, БАЗОВЫЙ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измен"&amp;"ение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" s="4" t="str">
        <f ca="1">IFERROR(__xludf.DUMMYFUNCTION("""COMPUTED_VALUE"""),"Переход на Mobile SMARTS: Магазин 15, БАЗОВЫЙ для «1С: Управление небольшой фирмой 1.6», для работы с товаром по штрихкодам ")</f>
        <v xml:space="preserve">Переход на Mobile SMARTS: Магазин 15, БАЗОВЫЙ для «1С: Управление небольшой фирмой 1.6», для работы с товаром по штрихкодам </v>
      </c>
      <c r="F29" s="5">
        <f ca="1">IFERROR(__xludf.DUMMYFUNCTION("""COMPUTED_VALUE"""),4325)</f>
        <v>4325</v>
      </c>
    </row>
    <row r="30" spans="1:6" ht="44.25" customHeight="1" x14ac:dyDescent="0.2">
      <c r="A30" s="4" t="str">
        <f ca="1">IFERROR(__xludf.DUMMYFUNCTION("""COMPUTED_VALUE"""),"«1С: Управление небольшой фирмой 1.6»")</f>
        <v>«1С: Управление небольшой фирмой 1.6»</v>
      </c>
      <c r="B30" s="4" t="str">
        <f ca="1">IFERROR(__xludf.DUMMYFUNCTION("""COMPUTED_VALUE"""),"РАСШИРЕННЫЙ")</f>
        <v>РАСШИРЕННЫЙ</v>
      </c>
      <c r="C30" s="4" t="str">
        <f ca="1">IFERROR(__xludf.DUMMYFUNCTION("""COMPUTED_VALUE"""),"UP2-RTL15B-1CUNF16")</f>
        <v>UP2-RTL15B-1CUNF16</v>
      </c>
      <c r="D30" s="4" t="str">
        <f ca="1">IFERROR(__xludf.DUMMYFUNCTION("""COMPUTED_VALUE"""),"Переход на Mobile SMARTS: Магазин 15, РАСШИРЕННЫЙ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пе"&amp;"реоценка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" s="4" t="str">
        <f ca="1">IFERROR(__xludf.DUMMYFUNCTION("""COMPUTED_VALUE"""),"Переход на Mobile SMARTS: Магазин 15, РАСШИРЕННЫЙ для «1С: Управление небольшой фирмой 1.6», для работы с товаром по штрихкодам ")</f>
        <v xml:space="preserve">Переход на Mobile SMARTS: Магазин 15, РАСШИРЕННЫЙ для «1С: Управление небольшой фирмой 1.6», для работы с товаром по штрихкодам </v>
      </c>
      <c r="F30" s="5">
        <f ca="1">IFERROR(__xludf.DUMMYFUNCTION("""COMPUTED_VALUE"""),7525)</f>
        <v>7525</v>
      </c>
    </row>
    <row r="31" spans="1:6" ht="44.25" customHeight="1" x14ac:dyDescent="0.2">
      <c r="A31" s="4" t="str">
        <f ca="1">IFERROR(__xludf.DUMMYFUNCTION("""COMPUTED_VALUE"""),"«1С: Управление небольшой фирмой 1.6»")</f>
        <v>«1С: Управление небольшой фирмой 1.6»</v>
      </c>
      <c r="B31" s="4" t="str">
        <f ca="1">IFERROR(__xludf.DUMMYFUNCTION("""COMPUTED_VALUE"""),"МЕГАМАРКЕТ")</f>
        <v>МЕГАМАРКЕТ</v>
      </c>
      <c r="C31" s="4" t="str">
        <f ca="1">IFERROR(__xludf.DUMMYFUNCTION("""COMPUTED_VALUE"""),"UP2-RTL15C-1CUNF16")</f>
        <v>UP2-RTL15C-1CUNF16</v>
      </c>
      <c r="D31" s="4" t="str">
        <f ca="1">IFERROR(__xludf.DUMMYFUNCTION("""COMPUTED_VALUE"""),"Переход на Mobile SMARTS: Магазин 15, МЕГАМАРКЕТ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пер"&amp;"еоценка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" s="4" t="str">
        <f ca="1">IFERROR(__xludf.DUMMYFUNCTION("""COMPUTED_VALUE"""),"Переход на Mobile SMARTS: Магазин 15, МЕГАМАРКЕТ для «1С: Управление небольшой фирмой 1.6», для работы с товаром по штрихкодам ")</f>
        <v xml:space="preserve">Переход на Mobile SMARTS: Магазин 15, МЕГАМАРКЕТ для «1С: Управление небольшой фирмой 1.6», для работы с товаром по штрихкодам </v>
      </c>
      <c r="F31" s="5">
        <f ca="1">IFERROR(__xludf.DUMMYFUNCTION("""COMPUTED_VALUE"""),10775)</f>
        <v>10775</v>
      </c>
    </row>
    <row r="32" spans="1:6" ht="44.25" customHeight="1" x14ac:dyDescent="0.2">
      <c r="A32" s="4" t="str">
        <f ca="1">IFERROR(__xludf.DUMMYFUNCTION("""COMPUTED_VALUE"""),"«1С: Управление небольшой фирмой 1.6»")</f>
        <v>«1С: Управление небольшой фирмой 1.6»</v>
      </c>
      <c r="B32" s="4" t="str">
        <f ca="1">IFERROR(__xludf.DUMMYFUNCTION("""COMPUTED_VALUE"""),"с ЕГАИС, БАЗОВЫЙ")</f>
        <v>с ЕГАИС, БАЗОВЫЙ</v>
      </c>
      <c r="C32" s="4" t="str">
        <f ca="1">IFERROR(__xludf.DUMMYFUNCTION("""COMPUTED_VALUE"""),"UP2-RTL15AE-1CUNF16")</f>
        <v>UP2-RTL15AE-1CUNF16</v>
      </c>
      <c r="D32" s="4" t="str">
        <f ca="1">IFERROR(__xludf.DUMMYFUNCTION("""COMPUTED_VALUE"""),"Переход на Mobile SMARTS: Магазин 15 с ЕГАИС, БАЗОВЫЙ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доступны"&amp;"е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пр"&amp;"интер,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г"&amp;"од")</f>
        <v>Переход на Mobile SMARTS: Магазин 15 с ЕГАИС, БАЗОВЫЙ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2" s="4" t="str">
        <f ca="1">IFERROR(__xludf.DUMMYFUNCTION("""COMPUTED_VALUE"""),"Переход на Mobile SMARTS: Магазин 15 с ЕГАИС, БАЗОВЫЙ для «1С: Управление небольшой фирмой 1.6», для работы с маркированным товаром: алкоголь ЕГАИС и товары по штрихкодам ")</f>
        <v xml:space="preserve">Переход на Mobile SMARTS: Магазин 15 с ЕГАИС, БАЗОВЫЙ для «1С: Управление небольшой фирмой 1.6», для работы с маркированным товаром: алкоголь ЕГАИС и товары по штрихкодам </v>
      </c>
      <c r="F32" s="5">
        <f ca="1">IFERROR(__xludf.DUMMYFUNCTION("""COMPUTED_VALUE"""),5500)</f>
        <v>5500</v>
      </c>
    </row>
    <row r="33" spans="1:6" ht="44.25" customHeight="1" x14ac:dyDescent="0.2">
      <c r="A33" s="4" t="str">
        <f ca="1">IFERROR(__xludf.DUMMYFUNCTION("""COMPUTED_VALUE"""),"«1С: Управление небольшой фирмой 1.6»")</f>
        <v>«1С: Управление небольшой фирмой 1.6»</v>
      </c>
      <c r="B33" s="4" t="str">
        <f ca="1">IFERROR(__xludf.DUMMYFUNCTION("""COMPUTED_VALUE"""),"с ЕГАИС, РАСШИРЕННЫЙ")</f>
        <v>с ЕГАИС, РАСШИРЕННЫЙ</v>
      </c>
      <c r="C33" s="4" t="str">
        <f ca="1">IFERROR(__xludf.DUMMYFUNCTION("""COMPUTED_VALUE"""),"UP2-RTL15BE-1CUNF16")</f>
        <v>UP2-RTL15BE-1CUNF16</v>
      </c>
      <c r="D33" s="4" t="str">
        <f ca="1">IFERROR(__xludf.DUMMYFUNCTION("""COMPUTED_VALUE"""),"Переход на 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дост"&amp;"упные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мобильны"&amp;"й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Переход на 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" s="4" t="str">
        <f ca="1">IFERROR(__xludf.DUMMYFUNCTION("""COMPUTED_VALUE"""),"Переход на 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</v>
      </c>
      <c r="F33" s="5">
        <f ca="1">IFERROR(__xludf.DUMMYFUNCTION("""COMPUTED_VALUE"""),8725)</f>
        <v>8725</v>
      </c>
    </row>
    <row r="34" spans="1:6" ht="44.25" customHeight="1" x14ac:dyDescent="0.2">
      <c r="A34" s="4" t="str">
        <f ca="1">IFERROR(__xludf.DUMMYFUNCTION("""COMPUTED_VALUE"""),"«1С: Управление небольшой фирмой 1.6»")</f>
        <v>«1С: Управление небольшой фирмой 1.6»</v>
      </c>
      <c r="B34" s="4" t="str">
        <f ca="1">IFERROR(__xludf.DUMMYFUNCTION("""COMPUTED_VALUE"""),"с ЕГАИС (без CheckMark2), МЕГАМАРКЕТ")</f>
        <v>с ЕГАИС (без CheckMark2), МЕГАМАРКЕТ</v>
      </c>
      <c r="C34" s="4" t="str">
        <f ca="1">IFERROR(__xludf.DUMMYFUNCTION("""COMPUTED_VALUE"""),"UP2-RTL15CEV-1CUNF16")</f>
        <v>UP2-RTL15CEV-1CUNF16</v>
      </c>
      <c r="D34" s="4" t="str">
        <f ca="1">IFERROR(__xludf.DUMMYFUNCTION("""COMPUTED_VALUE"""),"Переход на 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ес"&amp;"ть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ко"&amp;"ллективная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Переход на 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" s="4" t="str">
        <f ca="1">IFERROR(__xludf.DUMMYFUNCTION("""COMPUTED_VALUE"""),"Переход на 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</v>
      </c>
      <c r="F34" s="5">
        <f ca="1">IFERROR(__xludf.DUMMYFUNCTION("""COMPUTED_VALUE"""),11925)</f>
        <v>11925</v>
      </c>
    </row>
    <row r="35" spans="1:6" ht="44.25" customHeight="1" x14ac:dyDescent="0.2">
      <c r="A35" s="4" t="str">
        <f ca="1">IFERROR(__xludf.DUMMYFUNCTION("""COMPUTED_VALUE"""),"«1С: Управление небольшой фирмой 1.6.19»")</f>
        <v>«1С: Управление небольшой фирмой 1.6.19»</v>
      </c>
      <c r="B35" s="4" t="str">
        <f ca="1">IFERROR(__xludf.DUMMYFUNCTION("""COMPUTED_VALUE"""),"с МОТП, БАЗОВЫЙ")</f>
        <v>с МОТП, БАЗОВЫЙ</v>
      </c>
      <c r="C35" s="4" t="str">
        <f ca="1">IFERROR(__xludf.DUMMYFUNCTION("""COMPUTED_VALUE"""),"UP2-RTL15AT-1CUNF16")</f>
        <v>UP2-RTL15AT-1CUNF16</v>
      </c>
      <c r="D35" s="4" t="str">
        <f ca="1">IFERROR(__xludf.DUMMYFUNCTION("""COMPUTED_VALUE"""),"Переход на Mobile SMARTS: Магазин 15 с МОТП, БАЗОВЫЙ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опера"&amp;"ции: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возможн"&amp;"ости: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(оди"&amp;"н) год")</f>
        <v>Переход на Mobile SMARTS: Магазин 15 с МОТП, БАЗОВЫЙ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" s="4" t="str">
        <f ca="1">IFERROR(__xludf.DUMMYFUNCTION("""COMPUTED_VALUE"""),"Переход на Mobile SMARTS: Магазин 15 с МОТП, БАЗОВЫЙ для «1С: Управление небольшой фирмой 1.6.19», для работы с маркированным товаром: ТАБАК и товары по штрихкодам ")</f>
        <v xml:space="preserve">Переход на Mobile SMARTS: Магазин 15 с МОТП, БАЗОВЫЙ для «1С: Управление небольшой фирмой 1.6.19», для работы с маркированным товаром: ТАБАК и товары по штрихкодам </v>
      </c>
      <c r="F35" s="5">
        <f ca="1">IFERROR(__xludf.DUMMYFUNCTION("""COMPUTED_VALUE"""),5575)</f>
        <v>5575</v>
      </c>
    </row>
    <row r="36" spans="1:6" ht="44.25" customHeight="1" x14ac:dyDescent="0.2">
      <c r="A36" s="4" t="str">
        <f ca="1">IFERROR(__xludf.DUMMYFUNCTION("""COMPUTED_VALUE"""),"«1С: Управление небольшой фирмой 1.6.19»")</f>
        <v>«1С: Управление небольшой фирмой 1.6.19»</v>
      </c>
      <c r="B36" s="4" t="str">
        <f ca="1">IFERROR(__xludf.DUMMYFUNCTION("""COMPUTED_VALUE"""),"с МОТП, РАСШИРЕННЫЙ")</f>
        <v>с МОТП, РАСШИРЕННЫЙ</v>
      </c>
      <c r="C36" s="4" t="str">
        <f ca="1">IFERROR(__xludf.DUMMYFUNCTION("""COMPUTED_VALUE"""),"UP2-RTL15BT-1CUNF16")</f>
        <v>UP2-RTL15BT-1CUNF16</v>
      </c>
      <c r="D36" s="4" t="str">
        <f ca="1">IFERROR(__xludf.DUMMYFUNCTION("""COMPUTED_VALUE"""),"Переход на Mobile SMARTS: Магазин 15 с МОТП, РАСШИРЕННЫЙ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Переход на Mobile SMARTS: Магазин 15 с МОТП, РАСШИРЕННЫЙ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" s="4" t="str">
        <f ca="1">IFERROR(__xludf.DUMMYFUNCTION("""COMPUTED_VALUE"""),"Переход на Mobile SMARTS: Магазин 15 с МОТП, РАСШИРЕННЫЙ для «1С: Управление небольшой фирмой 1.6.19», для работы с маркированным товаром: ТАБАК и товары по штрихкодам ")</f>
        <v xml:space="preserve">Переход на Mobile SMARTS: Магазин 15 с МОТП, РАСШИРЕННЫЙ для «1С: Управление небольшой фирмой 1.6.19», для работы с маркированным товаром: ТАБАК и товары по штрихкодам </v>
      </c>
      <c r="F36" s="5">
        <f ca="1">IFERROR(__xludf.DUMMYFUNCTION("""COMPUTED_VALUE"""),8725)</f>
        <v>8725</v>
      </c>
    </row>
    <row r="37" spans="1:6" ht="44.25" customHeight="1" x14ac:dyDescent="0.2">
      <c r="A37" s="4" t="str">
        <f ca="1">IFERROR(__xludf.DUMMYFUNCTION("""COMPUTED_VALUE"""),"«1С: Управление небольшой фирмой 1.6.19»")</f>
        <v>«1С: Управление небольшой фирмой 1.6.19»</v>
      </c>
      <c r="B37" s="4" t="str">
        <f ca="1">IFERROR(__xludf.DUMMYFUNCTION("""COMPUTED_VALUE"""),"с МОТП, МЕГАМАРКЕТ")</f>
        <v>с МОТП, МЕГАМАРКЕТ</v>
      </c>
      <c r="C37" s="4" t="str">
        <f ca="1">IFERROR(__xludf.DUMMYFUNCTION("""COMPUTED_VALUE"""),"UP2-RTL15CT-1CUNF16")</f>
        <v>UP2-RTL15CT-1CUNF16</v>
      </c>
      <c r="D37" s="4" t="str">
        <f ca="1">IFERROR(__xludf.DUMMYFUNCTION("""COMPUTED_VALUE"""),"Переход на Mobile SMARTS: Магазин 15 с МОТП, МЕГАМАРКЕТ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оп"&amp;"ерации: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возм"&amp;"ожности: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Переход на Mobile SMARTS: Магазин 15 с МОТП, МЕГАМАРКЕТ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" s="4" t="str">
        <f ca="1">IFERROR(__xludf.DUMMYFUNCTION("""COMPUTED_VALUE"""),"Переход на Mobile SMARTS: Магазин 15 с МОТП, МЕГАМАРКЕТ для «1С: Управление небольшой фирмой 1.6.19», для работы с маркированным товаром: ТАБАК и товары по штрихкодам ")</f>
        <v xml:space="preserve">Переход на Mobile SMARTS: Магазин 15 с МОТП, МЕГАМАРКЕТ для «1С: Управление небольшой фирмой 1.6.19», для работы с маркированным товаром: ТАБАК и товары по штрихкодам </v>
      </c>
      <c r="F37" s="5">
        <f ca="1">IFERROR(__xludf.DUMMYFUNCTION("""COMPUTED_VALUE"""),11925)</f>
        <v>11925</v>
      </c>
    </row>
    <row r="38" spans="1:6" ht="44.25" customHeight="1" x14ac:dyDescent="0.2">
      <c r="A38" s="4" t="str">
        <f ca="1">IFERROR(__xludf.DUMMYFUNCTION("""COMPUTED_VALUE"""),"«1С: Управление небольшой фирмой 1.6.19»")</f>
        <v>«1С: Управление небольшой фирмой 1.6.19»</v>
      </c>
      <c r="B38" s="4" t="str">
        <f ca="1">IFERROR(__xludf.DUMMYFUNCTION("""COMPUTED_VALUE"""),"с ЕГАИС и МОТП, БАЗОВЫЙ")</f>
        <v>с ЕГАИС и МОТП, БАЗОВЫЙ</v>
      </c>
      <c r="C38" s="4" t="str">
        <f ca="1">IFERROR(__xludf.DUMMYFUNCTION("""COMPUTED_VALUE"""),"UP2-RTL15AET-1CUNF16")</f>
        <v>UP2-RTL15AET-1CUNF16</v>
      </c>
      <c r="D38" s="4" t="str">
        <f ca="1">IFERROR(__xludf.DUMMYFUNCTION("""COMPUTED_VALUE"""),"Переход на 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нет онлайна"&amp;"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пер"&amp;"емещение,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существ"&amp;"ующих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" s="4" t="str">
        <f ca="1">IFERROR(__xludf.DUMMYFUNCTION("""COMPUTED_VALUE"""),"Переход на 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</v>
      </c>
      <c r="F38" s="5">
        <f ca="1">IFERROR(__xludf.DUMMYFUNCTION("""COMPUTED_VALUE"""),6075)</f>
        <v>6075</v>
      </c>
    </row>
    <row r="39" spans="1:6" ht="44.25" customHeight="1" x14ac:dyDescent="0.2">
      <c r="A39" s="4" t="str">
        <f ca="1">IFERROR(__xludf.DUMMYFUNCTION("""COMPUTED_VALUE"""),"«1С: Управление небольшой фирмой 1.6.19»")</f>
        <v>«1С: Управление небольшой фирмой 1.6.19»</v>
      </c>
      <c r="B39" s="4" t="str">
        <f ca="1">IFERROR(__xludf.DUMMYFUNCTION("""COMPUTED_VALUE"""),"с ЕГАИС и МОТП, РАСШИРЕННЫЙ")</f>
        <v>с ЕГАИС и МОТП, РАСШИРЕННЫЙ</v>
      </c>
      <c r="C39" s="4" t="str">
        <f ca="1">IFERROR(__xludf.DUMMYFUNCTION("""COMPUTED_VALUE"""),"UP2-RTL15BET-1CUNF16")</f>
        <v>UP2-RTL15BET-1CUNF16</v>
      </c>
      <c r="D39" s="4" t="str">
        <f ca="1">IFERROR(__xludf.DUMMYFUNCTION("""COMPUTED_VALUE"""),"Переход на 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ОН"&amp;"ЛАЙН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КМ),"&amp;"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сущ"&amp;"ествующих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" s="4" t="str">
        <f ca="1">IFERROR(__xludf.DUMMYFUNCTION("""COMPUTED_VALUE"""),"Переход на 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</v>
      </c>
      <c r="F39" s="5">
        <f ca="1">IFERROR(__xludf.DUMMYFUNCTION("""COMPUTED_VALUE"""),9275)</f>
        <v>9275</v>
      </c>
    </row>
    <row r="40" spans="1:6" ht="44.25" customHeight="1" x14ac:dyDescent="0.2">
      <c r="A40" s="4" t="str">
        <f ca="1">IFERROR(__xludf.DUMMYFUNCTION("""COMPUTED_VALUE"""),"«1С: Управление небольшой фирмой 1.6.19»")</f>
        <v>«1С: Управление небольшой фирмой 1.6.19»</v>
      </c>
      <c r="B40" s="4" t="str">
        <f ca="1">IFERROR(__xludf.DUMMYFUNCTION("""COMPUTED_VALUE"""),"с ЕГАИС и МОТП, МЕГАМАРКЕТ")</f>
        <v>с ЕГАИС и МОТП, МЕГАМАРКЕТ</v>
      </c>
      <c r="C40" s="4" t="str">
        <f ca="1">IFERROR(__xludf.DUMMYFUNCTION("""COMPUTED_VALUE"""),"UP2-RTL15CET-1CUNF16")</f>
        <v>UP2-RTL15CET-1CUNF16</v>
      </c>
      <c r="D40" s="4" t="str">
        <f ca="1">IFERROR(__xludf.DUMMYFUNCTION("""COMPUTED_VALUE"""),"Переход на 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ОНЛ"&amp;"АЙН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"&amp;"перемещение,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" s="4" t="str">
        <f ca="1">IFERROR(__xludf.DUMMYFUNCTION("""COMPUTED_VALUE"""),"Переход на 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</v>
      </c>
      <c r="F40" s="5">
        <f ca="1">IFERROR(__xludf.DUMMYFUNCTION("""COMPUTED_VALUE"""),13175)</f>
        <v>13175</v>
      </c>
    </row>
    <row r="41" spans="1:6" ht="44.25" customHeight="1" x14ac:dyDescent="0.2">
      <c r="A41" s="4" t="str">
        <f ca="1">IFERROR(__xludf.DUMMYFUNCTION("""COMPUTED_VALUE"""),"«1С: Управление небольшой фирмой 1.6.19»")</f>
        <v>«1С: Управление небольшой фирмой 1.6.19»</v>
      </c>
      <c r="B41" s="4" t="str">
        <f ca="1">IFERROR(__xludf.DUMMYFUNCTION("""COMPUTED_VALUE"""),"ШМОТКИ, БАЗОВЫЙ")</f>
        <v>ШМОТКИ, БАЗОВЫЙ</v>
      </c>
      <c r="C41" s="4" t="str">
        <f ca="1">IFERROR(__xludf.DUMMYFUNCTION("""COMPUTED_VALUE"""),"UP2-RTL15AK-1CUNF16")</f>
        <v>UP2-RTL15AK-1CUNF16</v>
      </c>
      <c r="D41" s="4" t="str">
        <f ca="1">IFERROR(__xludf.DUMMYFUNCTION("""COMPUTED_VALUE"""),"Переход на 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онл"&amp;"айна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прове"&amp;"рка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Переход на 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" s="4" t="str">
        <f ca="1">IFERROR(__xludf.DUMMYFUNCTION("""COMPUTED_VALUE"""),"Переход на 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</v>
      </c>
      <c r="F41" s="5">
        <f ca="1">IFERROR(__xludf.DUMMYFUNCTION("""COMPUTED_VALUE"""),6075)</f>
        <v>6075</v>
      </c>
    </row>
    <row r="42" spans="1:6" ht="44.25" customHeight="1" x14ac:dyDescent="0.2">
      <c r="A42" s="4" t="str">
        <f ca="1">IFERROR(__xludf.DUMMYFUNCTION("""COMPUTED_VALUE"""),"«1С: Управление небольшой фирмой 1.6.19»")</f>
        <v>«1С: Управление небольшой фирмой 1.6.19»</v>
      </c>
      <c r="B42" s="4" t="str">
        <f ca="1">IFERROR(__xludf.DUMMYFUNCTION("""COMPUTED_VALUE"""),"ШМОТКИ, РАСШИРЕННЫЙ")</f>
        <v>ШМОТКИ, РАСШИРЕННЫЙ</v>
      </c>
      <c r="C42" s="4" t="str">
        <f ca="1">IFERROR(__xludf.DUMMYFUNCTION("""COMPUTED_VALUE"""),"UP2-RTL15BK-1CUNF16")</f>
        <v>UP2-RTL15BK-1CUNF16</v>
      </c>
      <c r="D42" s="4" t="str">
        <f ca="1">IFERROR(__xludf.DUMMYFUNCTION("""COMPUTED_VALUE"""),"Переход на 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ест"&amp;"ь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п"&amp;"роверка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обме"&amp;"н через Интернет на 1 (один) год")</f>
        <v>Переход на 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" s="4" t="str">
        <f ca="1">IFERROR(__xludf.DUMMYFUNCTION("""COMPUTED_VALUE"""),"Переход на 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</v>
      </c>
      <c r="F42" s="5">
        <f ca="1">IFERROR(__xludf.DUMMYFUNCTION("""COMPUTED_VALUE"""),9275)</f>
        <v>9275</v>
      </c>
    </row>
    <row r="43" spans="1:6" ht="44.25" customHeight="1" x14ac:dyDescent="0.2">
      <c r="A43" s="4" t="str">
        <f ca="1">IFERROR(__xludf.DUMMYFUNCTION("""COMPUTED_VALUE"""),"«1С: Управление небольшой фирмой 1.6.19»")</f>
        <v>«1С: Управление небольшой фирмой 1.6.19»</v>
      </c>
      <c r="B43" s="4" t="str">
        <f ca="1">IFERROR(__xludf.DUMMYFUNCTION("""COMPUTED_VALUE"""),"ШМОТКИ, МЕГАМАРКЕТ")</f>
        <v>ШМОТКИ, МЕГАМАРКЕТ</v>
      </c>
      <c r="C43" s="4" t="str">
        <f ca="1">IFERROR(__xludf.DUMMYFUNCTION("""COMPUTED_VALUE"""),"UP2-RTL15CK-1CUNF16")</f>
        <v>UP2-RTL15CK-1CUNF16</v>
      </c>
      <c r="D43" s="4" t="str">
        <f ca="1">IFERROR(__xludf.DUMMYFUNCTION("""COMPUTED_VALUE"""),"Переход на 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есть"&amp;"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пр"&amp;"оверка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"&amp;"на обновления и обмен через Интернет на 1 (один) год")</f>
        <v>Переход на 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" s="4" t="str">
        <f ca="1">IFERROR(__xludf.DUMMYFUNCTION("""COMPUTED_VALUE"""),"Переход на 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</v>
      </c>
      <c r="F43" s="5">
        <f ca="1">IFERROR(__xludf.DUMMYFUNCTION("""COMPUTED_VALUE"""),13175)</f>
        <v>13175</v>
      </c>
    </row>
    <row r="44" spans="1:6" ht="44.25" customHeight="1" x14ac:dyDescent="0.2">
      <c r="A44" s="4" t="str">
        <f ca="1">IFERROR(__xludf.DUMMYFUNCTION("""COMPUTED_VALUE"""),"«1С: Управление небольшой фирмой 1.6.19»")</f>
        <v>«1С: Управление небольшой фирмой 1.6.19»</v>
      </c>
      <c r="B44" s="4" t="str">
        <f ca="1">IFERROR(__xludf.DUMMYFUNCTION("""COMPUTED_VALUE"""),"ПРОДУКТОВЫЙ, БАЗОВЫЙ")</f>
        <v>ПРОДУКТОВЫЙ, БАЗОВЫЙ</v>
      </c>
      <c r="C44" s="4" t="str">
        <f ca="1">IFERROR(__xludf.DUMMYFUNCTION("""COMPUTED_VALUE"""),"UP2-RTL15AG-1CUNF16")</f>
        <v>UP2-RTL15AG-1CUNF16</v>
      </c>
      <c r="D44" s="4" t="str">
        <f ca="1">IFERROR(__xludf.DUMMYFUNCTION("""COMPUTED_VALUE"""),"Переход на 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беспро"&amp;"водной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возвра"&amp;"т,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о"&amp;"статках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" s="4" t="str">
        <f ca="1">IFERROR(__xludf.DUMMYFUNCTION("""COMPUTED_VALUE"""),"Переход на 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</v>
      </c>
      <c r="F44" s="5">
        <f ca="1">IFERROR(__xludf.DUMMYFUNCTION("""COMPUTED_VALUE"""),7275)</f>
        <v>7275</v>
      </c>
    </row>
    <row r="45" spans="1:6" ht="44.25" customHeight="1" x14ac:dyDescent="0.2">
      <c r="A45" s="4" t="str">
        <f ca="1">IFERROR(__xludf.DUMMYFUNCTION("""COMPUTED_VALUE"""),"«1С: Управление небольшой фирмой 1.6.19»")</f>
        <v>«1С: Управление небольшой фирмой 1.6.19»</v>
      </c>
      <c r="B45" s="4" t="str">
        <f ca="1">IFERROR(__xludf.DUMMYFUNCTION("""COMPUTED_VALUE"""),"ПРОДУКТОВЫЙ, РАСШИРЕННЫЙ")</f>
        <v>ПРОДУКТОВЫЙ, РАСШИРЕННЫЙ</v>
      </c>
      <c r="C45" s="4" t="str">
        <f ca="1">IFERROR(__xludf.DUMMYFUNCTION("""COMPUTED_VALUE"""),"UP2-RTL15BG-1CUNF16")</f>
        <v>UP2-RTL15BG-1CUNF16</v>
      </c>
      <c r="D45" s="4" t="str">
        <f ca="1">IFERROR(__xludf.DUMMYFUNCTION("""COMPUTED_VALUE"""),"Переход на 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бе"&amp;"спроводной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во"&amp;"зврат,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контрагента"&amp;"х,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" s="4" t="str">
        <f ca="1">IFERROR(__xludf.DUMMYFUNCTION("""COMPUTED_VALUE"""),"Переход на 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</v>
      </c>
      <c r="F45" s="5">
        <f ca="1">IFERROR(__xludf.DUMMYFUNCTION("""COMPUTED_VALUE"""),10475)</f>
        <v>10475</v>
      </c>
    </row>
    <row r="46" spans="1:6" ht="44.25" customHeight="1" x14ac:dyDescent="0.2">
      <c r="A46" s="4" t="str">
        <f ca="1">IFERROR(__xludf.DUMMYFUNCTION("""COMPUTED_VALUE"""),"«1С: Управление небольшой фирмой 1.6.19»")</f>
        <v>«1С: Управление небольшой фирмой 1.6.19»</v>
      </c>
      <c r="B46" s="4" t="str">
        <f ca="1">IFERROR(__xludf.DUMMYFUNCTION("""COMPUTED_VALUE"""),"ПРОДУКТОВЫЙ, МЕГАМАРКЕТ")</f>
        <v>ПРОДУКТОВЫЙ, МЕГАМАРКЕТ</v>
      </c>
      <c r="C46" s="4" t="str">
        <f ca="1">IFERROR(__xludf.DUMMYFUNCTION("""COMPUTED_VALUE"""),"UP2-RTL15CG-1CUNF16")</f>
        <v>UP2-RTL15CG-1CUNF16</v>
      </c>
      <c r="D46" s="4" t="str">
        <f ca="1">IFERROR(__xludf.DUMMYFUNCTION("""COMPUTED_VALUE"""),"Переход на 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бес"&amp;"проводной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воз"&amp;"врат,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"&amp;"складах,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" s="4" t="str">
        <f ca="1">IFERROR(__xludf.DUMMYFUNCTION("""COMPUTED_VALUE"""),"Переход на 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</v>
      </c>
      <c r="F46" s="5">
        <f ca="1">IFERROR(__xludf.DUMMYFUNCTION("""COMPUTED_VALUE"""),14125)</f>
        <v>14125</v>
      </c>
    </row>
    <row r="47" spans="1:6" ht="44.25" customHeight="1" x14ac:dyDescent="0.2">
      <c r="A47" s="4" t="str">
        <f ca="1">IFERROR(__xludf.DUMMYFUNCTION("""COMPUTED_VALUE"""),"«1С: ERP Управление предприятием 2.2»")</f>
        <v>«1С: ERP Управление предприятием 2.2»</v>
      </c>
      <c r="B47" s="4" t="str">
        <f ca="1">IFERROR(__xludf.DUMMYFUNCTION("""COMPUTED_VALUE"""),"МИНИМУМ")</f>
        <v>МИНИМУМ</v>
      </c>
      <c r="C47" s="4" t="str">
        <f ca="1">IFERROR(__xludf.DUMMYFUNCTION("""COMPUTED_VALUE"""),"UP2-RTL15M-1CERP22")</f>
        <v>UP2-RTL15M-1CERP22</v>
      </c>
      <c r="D47" s="4" t="str">
        <f ca="1">IFERROR(__xludf.DUMMYFUNCTION("""COMPUTED_VALUE"""),"Переход на Mobile SMARTS: Магазин 15, МИНИМУМ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пр"&amp;"осмотр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Инте"&amp;"рнет на 1 (один) год")</f>
        <v>Переход на Mobile SMARTS: Магазин 15, МИНИМУМ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7" s="4" t="str">
        <f ca="1">IFERROR(__xludf.DUMMYFUNCTION("""COMPUTED_VALUE"""),"Переход на Mobile SMARTS: Магазин 15, МИНИМУМ для «1С: ERP Управление предприятием 2.2», для работы с товаром по штрихкодам ")</f>
        <v xml:space="preserve">Переход на Mobile SMARTS: Магазин 15, МИНИМУМ для «1С: ERP Управление предприятием 2.2», для работы с товаром по штрихкодам </v>
      </c>
      <c r="F47" s="5">
        <f ca="1">IFERROR(__xludf.DUMMYFUNCTION("""COMPUTED_VALUE"""),1725)</f>
        <v>1725</v>
      </c>
    </row>
    <row r="48" spans="1:6" ht="44.25" customHeight="1" x14ac:dyDescent="0.2">
      <c r="A48" s="4" t="str">
        <f ca="1">IFERROR(__xludf.DUMMYFUNCTION("""COMPUTED_VALUE"""),"«1С: ERP Управление предприятием 2.2»")</f>
        <v>«1С: ERP Управление предприятием 2.2»</v>
      </c>
      <c r="B48" s="4" t="str">
        <f ca="1">IFERROR(__xludf.DUMMYFUNCTION("""COMPUTED_VALUE"""),"БАЗОВЫЙ")</f>
        <v>БАЗОВЫЙ</v>
      </c>
      <c r="C48" s="4" t="str">
        <f ca="1">IFERROR(__xludf.DUMMYFUNCTION("""COMPUTED_VALUE"""),"UP2-RTL15A-1CERP22")</f>
        <v>UP2-RTL15A-1CERP22</v>
      </c>
      <c r="D48" s="4" t="str">
        <f ca="1">IFERROR(__xludf.DUMMYFUNCTION("""COMPUTED_VALUE"""),"Переход на Mobile SMARTS: Магазин 15, БАЗОВЫЙ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измен"&amp;"ение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" s="4" t="str">
        <f ca="1">IFERROR(__xludf.DUMMYFUNCTION("""COMPUTED_VALUE"""),"Переход на Mobile SMARTS: Магазин 15, БАЗОВЫЙ для «1С: ERP Управление предприятием 2.2», для работы с товаром по штрихкодам ")</f>
        <v xml:space="preserve">Переход на Mobile SMARTS: Магазин 15, БАЗОВЫЙ для «1С: ERP Управление предприятием 2.2», для работы с товаром по штрихкодам </v>
      </c>
      <c r="F48" s="5">
        <f ca="1">IFERROR(__xludf.DUMMYFUNCTION("""COMPUTED_VALUE"""),4325)</f>
        <v>4325</v>
      </c>
    </row>
    <row r="49" spans="1:6" ht="44.25" customHeight="1" x14ac:dyDescent="0.2">
      <c r="A49" s="4" t="str">
        <f ca="1">IFERROR(__xludf.DUMMYFUNCTION("""COMPUTED_VALUE"""),"«1С: ERP Управление предприятием 2.2»")</f>
        <v>«1С: ERP Управление предприятием 2.2»</v>
      </c>
      <c r="B49" s="4" t="str">
        <f ca="1">IFERROR(__xludf.DUMMYFUNCTION("""COMPUTED_VALUE"""),"РАСШИРЕННЫЙ")</f>
        <v>РАСШИРЕННЫЙ</v>
      </c>
      <c r="C49" s="4" t="str">
        <f ca="1">IFERROR(__xludf.DUMMYFUNCTION("""COMPUTED_VALUE"""),"UP2-RTL15B-1CERP22")</f>
        <v>UP2-RTL15B-1CERP22</v>
      </c>
      <c r="D49" s="4" t="str">
        <f ca="1">IFERROR(__xludf.DUMMYFUNCTION("""COMPUTED_VALUE"""),"Переход на Mobile SMARTS: Магазин 15, РАСШИРЕННЫЙ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пе"&amp;"реоценка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" s="4" t="str">
        <f ca="1">IFERROR(__xludf.DUMMYFUNCTION("""COMPUTED_VALUE"""),"Переход на Mobile SMARTS: Магазин 15, РАСШИРЕННЫЙ для «1С: ERP Управление предприятием 2.2», для работы с товаром по штрихкодам ")</f>
        <v xml:space="preserve">Переход на Mobile SMARTS: Магазин 15, РАСШИРЕННЫЙ для «1С: ERP Управление предприятием 2.2», для работы с товаром по штрихкодам </v>
      </c>
      <c r="F49" s="5">
        <f ca="1">IFERROR(__xludf.DUMMYFUNCTION("""COMPUTED_VALUE"""),7525)</f>
        <v>7525</v>
      </c>
    </row>
    <row r="50" spans="1:6" ht="44.25" customHeight="1" x14ac:dyDescent="0.2">
      <c r="A50" s="4" t="str">
        <f ca="1">IFERROR(__xludf.DUMMYFUNCTION("""COMPUTED_VALUE"""),"«1С: ERP Управление предприятием 2.2»")</f>
        <v>«1С: ERP Управление предприятием 2.2»</v>
      </c>
      <c r="B50" s="4" t="str">
        <f ca="1">IFERROR(__xludf.DUMMYFUNCTION("""COMPUTED_VALUE"""),"МЕГАМАРКЕТ")</f>
        <v>МЕГАМАРКЕТ</v>
      </c>
      <c r="C50" s="4" t="str">
        <f ca="1">IFERROR(__xludf.DUMMYFUNCTION("""COMPUTED_VALUE"""),"UP2-RTL15C-1CERP22")</f>
        <v>UP2-RTL15C-1CERP22</v>
      </c>
      <c r="D50" s="4" t="str">
        <f ca="1">IFERROR(__xludf.DUMMYFUNCTION("""COMPUTED_VALUE"""),"Переход на Mobile SMARTS: Магазин 15, МЕГАМАРКЕТ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пер"&amp;"еоценка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" s="4" t="str">
        <f ca="1">IFERROR(__xludf.DUMMYFUNCTION("""COMPUTED_VALUE"""),"Переход на Mobile SMARTS: Магазин 15, МЕГАМАРКЕТ для «1С: ERP Управление предприятием 2.2», для работы с товаром по штрихкодам ")</f>
        <v xml:space="preserve">Переход на Mobile SMARTS: Магазин 15, МЕГАМАРКЕТ для «1С: ERP Управление предприятием 2.2», для работы с товаром по штрихкодам </v>
      </c>
      <c r="F50" s="5">
        <f ca="1">IFERROR(__xludf.DUMMYFUNCTION("""COMPUTED_VALUE"""),10775)</f>
        <v>10775</v>
      </c>
    </row>
    <row r="51" spans="1:6" ht="44.25" customHeight="1" x14ac:dyDescent="0.2">
      <c r="A51" s="4" t="str">
        <f ca="1">IFERROR(__xludf.DUMMYFUNCTION("""COMPUTED_VALUE"""),"«1С: ERP Управление предприятием 2.2»")</f>
        <v>«1С: ERP Управление предприятием 2.2»</v>
      </c>
      <c r="B51" s="4" t="str">
        <f ca="1">IFERROR(__xludf.DUMMYFUNCTION("""COMPUTED_VALUE"""),"с ЕГАИС, БАЗОВЫЙ")</f>
        <v>с ЕГАИС, БАЗОВЫЙ</v>
      </c>
      <c r="C51" s="4" t="str">
        <f ca="1">IFERROR(__xludf.DUMMYFUNCTION("""COMPUTED_VALUE"""),"UP2-RTL15AE-1CERP22")</f>
        <v>UP2-RTL15AE-1CERP22</v>
      </c>
      <c r="D51" s="4" t="str">
        <f ca="1">IFERROR(__xludf.DUMMYFUNCTION("""COMPUTED_VALUE"""),"Переход на Mobile SMARTS: Магазин 15 с ЕГАИС, БАЗОВЫЙ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доступны"&amp;"е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пр"&amp;"интер,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г"&amp;"од")</f>
        <v>Переход на Mobile SMARTS: Магазин 15 с ЕГАИС, БАЗОВЫЙ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1" s="4" t="str">
        <f ca="1">IFERROR(__xludf.DUMMYFUNCTION("""COMPUTED_VALUE"""),"Переход на Mobile SMARTS: Магазин 15 с ЕГАИС, БАЗОВЫЙ для «1С: ERP Управление предприятием 2.2», для работы с маркированным товаром: алкоголь ЕГАИС и товары по штрихкодам ")</f>
        <v xml:space="preserve">Переход на Mobile SMARTS: Магазин 15 с ЕГАИС, БАЗОВЫЙ для «1С: ERP Управление предприятием 2.2», для работы с маркированным товаром: алкоголь ЕГАИС и товары по штрихкодам </v>
      </c>
      <c r="F51" s="5">
        <f ca="1">IFERROR(__xludf.DUMMYFUNCTION("""COMPUTED_VALUE"""),5500)</f>
        <v>5500</v>
      </c>
    </row>
    <row r="52" spans="1:6" ht="44.25" customHeight="1" x14ac:dyDescent="0.2">
      <c r="A52" s="4" t="str">
        <f ca="1">IFERROR(__xludf.DUMMYFUNCTION("""COMPUTED_VALUE"""),"«1С: ERP Управление предприятием 2.2»")</f>
        <v>«1С: ERP Управление предприятием 2.2»</v>
      </c>
      <c r="B52" s="4" t="str">
        <f ca="1">IFERROR(__xludf.DUMMYFUNCTION("""COMPUTED_VALUE"""),"с ЕГАИС, РАСШИРЕННЫЙ")</f>
        <v>с ЕГАИС, РАСШИРЕННЫЙ</v>
      </c>
      <c r="C52" s="4" t="str">
        <f ca="1">IFERROR(__xludf.DUMMYFUNCTION("""COMPUTED_VALUE"""),"UP2-RTL15BE-1CERP22")</f>
        <v>UP2-RTL15BE-1CERP22</v>
      </c>
      <c r="D52" s="4" t="str">
        <f ca="1">IFERROR(__xludf.DUMMYFUNCTION("""COMPUTED_VALUE"""),"Переход на Mobile SMARTS: Магазин 15 с ЕГАИС, РАСШИРЕННЫЙ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дост"&amp;"упные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мобильны"&amp;"й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Переход на Mobile SMARTS: Магазин 15 с ЕГАИС, РАСШИРЕННЫЙ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2" s="4" t="str">
        <f ca="1">IFERROR(__xludf.DUMMYFUNCTION("""COMPUTED_VALUE"""),"Переход на Mobile SMARTS: Магазин 15 с ЕГАИС, РАСШИРЕННЫЙ для «1С: ERP Управление предприятием 2.2»,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ERP Управление предприятием 2.2», для работы с маркированным товаром: алкоголь ЕГАИС и товары по штрихкодам </v>
      </c>
      <c r="F52" s="5">
        <f ca="1">IFERROR(__xludf.DUMMYFUNCTION("""COMPUTED_VALUE"""),8725)</f>
        <v>8725</v>
      </c>
    </row>
    <row r="53" spans="1:6" ht="44.25" customHeight="1" x14ac:dyDescent="0.2">
      <c r="A53" s="4" t="str">
        <f ca="1">IFERROR(__xludf.DUMMYFUNCTION("""COMPUTED_VALUE"""),"«1С: ERP Управление предприятием 2.2»")</f>
        <v>«1С: ERP Управление предприятием 2.2»</v>
      </c>
      <c r="B53" s="4" t="str">
        <f ca="1">IFERROR(__xludf.DUMMYFUNCTION("""COMPUTED_VALUE"""),"с ЕГАИС (без CheckMark2), МЕГАМАРКЕТ")</f>
        <v>с ЕГАИС (без CheckMark2), МЕГАМАРКЕТ</v>
      </c>
      <c r="C53" s="4" t="str">
        <f ca="1">IFERROR(__xludf.DUMMYFUNCTION("""COMPUTED_VALUE"""),"UP2-RTL15CEV-1CERP22")</f>
        <v>UP2-RTL15CEV-1CERP22</v>
      </c>
      <c r="D53" s="4" t="str">
        <f ca="1">IFERROR(__xludf.DUMMYFUNCTION("""COMPUTED_VALUE"""),"Переход на 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ес"&amp;"ть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ко"&amp;"ллективная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Переход на 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" s="4" t="str">
        <f ca="1">IFERROR(__xludf.DUMMYFUNCTION("""COMPUTED_VALUE"""),"Переход на 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</v>
      </c>
      <c r="F53" s="5">
        <f ca="1">IFERROR(__xludf.DUMMYFUNCTION("""COMPUTED_VALUE"""),11925)</f>
        <v>11925</v>
      </c>
    </row>
    <row r="54" spans="1:6" ht="44.25" customHeight="1" x14ac:dyDescent="0.2">
      <c r="A54" s="4" t="str">
        <f ca="1">IFERROR(__xludf.DUMMYFUNCTION("""COMPUTED_VALUE"""),"«1С: ERP Управление предприятием 2.4»")</f>
        <v>«1С: ERP Управление предприятием 2.4»</v>
      </c>
      <c r="B54" s="4" t="str">
        <f ca="1">IFERROR(__xludf.DUMMYFUNCTION("""COMPUTED_VALUE"""),"МИНИМУМ")</f>
        <v>МИНИМУМ</v>
      </c>
      <c r="C54" s="4" t="str">
        <f ca="1">IFERROR(__xludf.DUMMYFUNCTION("""COMPUTED_VALUE"""),"UP2-RTL15M-1CERP24")</f>
        <v>UP2-RTL15M-1CERP24</v>
      </c>
      <c r="D54" s="4" t="str">
        <f ca="1">IFERROR(__xludf.DUMMYFUNCTION("""COMPUTED_VALUE"""),"Переход на Mobile SMARTS: Магазин 15, МИНИМУМ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пр"&amp;"осмотр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Инте"&amp;"рнет на 1 (один) год")</f>
        <v>Переход на Mobile SMARTS: Магазин 15, МИНИМУМ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4" s="4" t="str">
        <f ca="1">IFERROR(__xludf.DUMMYFUNCTION("""COMPUTED_VALUE"""),"Переход на Mobile SMARTS: Магазин 15, МИНИМУМ для «1С: ERP Управление предприятием 2.4», для работы с товаром по штрихкодам ")</f>
        <v xml:space="preserve">Переход на Mobile SMARTS: Магазин 15, МИНИМУМ для «1С: ERP Управление предприятием 2.4», для работы с товаром по штрихкодам </v>
      </c>
      <c r="F54" s="5">
        <f ca="1">IFERROR(__xludf.DUMMYFUNCTION("""COMPUTED_VALUE"""),1725)</f>
        <v>1725</v>
      </c>
    </row>
    <row r="55" spans="1:6" ht="44.25" customHeight="1" x14ac:dyDescent="0.2">
      <c r="A55" s="4" t="str">
        <f ca="1">IFERROR(__xludf.DUMMYFUNCTION("""COMPUTED_VALUE"""),"«1С: ERP Управление предприятием 2.4»")</f>
        <v>«1С: ERP Управление предприятием 2.4»</v>
      </c>
      <c r="B55" s="4" t="str">
        <f ca="1">IFERROR(__xludf.DUMMYFUNCTION("""COMPUTED_VALUE"""),"БАЗОВЫЙ")</f>
        <v>БАЗОВЫЙ</v>
      </c>
      <c r="C55" s="4" t="str">
        <f ca="1">IFERROR(__xludf.DUMMYFUNCTION("""COMPUTED_VALUE"""),"UP2-RTL15A-1CERP24")</f>
        <v>UP2-RTL15A-1CERP24</v>
      </c>
      <c r="D55" s="4" t="str">
        <f ca="1">IFERROR(__xludf.DUMMYFUNCTION("""COMPUTED_VALUE"""),"Переход на Mobile SMARTS: Магазин 15, БАЗОВЫЙ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измен"&amp;"ение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5" s="4" t="str">
        <f ca="1">IFERROR(__xludf.DUMMYFUNCTION("""COMPUTED_VALUE"""),"Переход на Mobile SMARTS: Магазин 15, БАЗОВЫЙ для «1С: ERP Управление предприятием 2.4», для работы с товаром по штрихкодам ")</f>
        <v xml:space="preserve">Переход на Mobile SMARTS: Магазин 15, БАЗОВЫЙ для «1С: ERP Управление предприятием 2.4», для работы с товаром по штрихкодам </v>
      </c>
      <c r="F55" s="5">
        <f ca="1">IFERROR(__xludf.DUMMYFUNCTION("""COMPUTED_VALUE"""),4325)</f>
        <v>4325</v>
      </c>
    </row>
    <row r="56" spans="1:6" ht="44.25" customHeight="1" x14ac:dyDescent="0.2">
      <c r="A56" s="4" t="str">
        <f ca="1">IFERROR(__xludf.DUMMYFUNCTION("""COMPUTED_VALUE"""),"«1С: ERP Управление предприятием 2.4»")</f>
        <v>«1С: ERP Управление предприятием 2.4»</v>
      </c>
      <c r="B56" s="4" t="str">
        <f ca="1">IFERROR(__xludf.DUMMYFUNCTION("""COMPUTED_VALUE"""),"РАСШИРЕННЫЙ")</f>
        <v>РАСШИРЕННЫЙ</v>
      </c>
      <c r="C56" s="4" t="str">
        <f ca="1">IFERROR(__xludf.DUMMYFUNCTION("""COMPUTED_VALUE"""),"UP2-RTL15B-1CERP24")</f>
        <v>UP2-RTL15B-1CERP24</v>
      </c>
      <c r="D56" s="4" t="str">
        <f ca="1">IFERROR(__xludf.DUMMYFUNCTION("""COMPUTED_VALUE"""),"Переход на Mobile SMARTS: Магазин 15, РАСШИРЕННЫЙ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пе"&amp;"реоценка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" s="4" t="str">
        <f ca="1">IFERROR(__xludf.DUMMYFUNCTION("""COMPUTED_VALUE"""),"Переход на Mobile SMARTS: Магазин 15, РАСШИРЕННЫЙ для «1С: ERP Управление предприятием 2.4», для работы с товаром по штрихкодам ")</f>
        <v xml:space="preserve">Переход на Mobile SMARTS: Магазин 15, РАСШИРЕННЫЙ для «1С: ERP Управление предприятием 2.4», для работы с товаром по штрихкодам </v>
      </c>
      <c r="F56" s="5">
        <f ca="1">IFERROR(__xludf.DUMMYFUNCTION("""COMPUTED_VALUE"""),7525)</f>
        <v>7525</v>
      </c>
    </row>
    <row r="57" spans="1:6" ht="44.25" customHeight="1" x14ac:dyDescent="0.2">
      <c r="A57" s="4" t="str">
        <f ca="1">IFERROR(__xludf.DUMMYFUNCTION("""COMPUTED_VALUE"""),"«1С: ERP Управление предприятием 2.4»")</f>
        <v>«1С: ERP Управление предприятием 2.4»</v>
      </c>
      <c r="B57" s="4" t="str">
        <f ca="1">IFERROR(__xludf.DUMMYFUNCTION("""COMPUTED_VALUE"""),"МЕГАМАРКЕТ")</f>
        <v>МЕГАМАРКЕТ</v>
      </c>
      <c r="C57" s="4" t="str">
        <f ca="1">IFERROR(__xludf.DUMMYFUNCTION("""COMPUTED_VALUE"""),"UP2-RTL15C-1CERP24")</f>
        <v>UP2-RTL15C-1CERP24</v>
      </c>
      <c r="D57" s="4" t="str">
        <f ca="1">IFERROR(__xludf.DUMMYFUNCTION("""COMPUTED_VALUE"""),"Переход на Mobile SMARTS: Магазин 15, МЕГАМАРКЕТ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пер"&amp;"еоценка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" s="4" t="str">
        <f ca="1">IFERROR(__xludf.DUMMYFUNCTION("""COMPUTED_VALUE"""),"Переход на Mobile SMARTS: Магазин 15, МЕГАМАРКЕТ для «1С: ERP Управление предприятием 2.4», для работы с товаром по штрихкодам ")</f>
        <v xml:space="preserve">Переход на Mobile SMARTS: Магазин 15, МЕГАМАРКЕТ для «1С: ERP Управление предприятием 2.4», для работы с товаром по штрихкодам </v>
      </c>
      <c r="F57" s="5">
        <f ca="1">IFERROR(__xludf.DUMMYFUNCTION("""COMPUTED_VALUE"""),10775)</f>
        <v>10775</v>
      </c>
    </row>
    <row r="58" spans="1:6" ht="44.25" customHeight="1" x14ac:dyDescent="0.2">
      <c r="A58" s="4" t="str">
        <f ca="1">IFERROR(__xludf.DUMMYFUNCTION("""COMPUTED_VALUE"""),"«1С: ERP Управление предприятием 2.4»")</f>
        <v>«1С: ERP Управление предприятием 2.4»</v>
      </c>
      <c r="B58" s="4" t="str">
        <f ca="1">IFERROR(__xludf.DUMMYFUNCTION("""COMPUTED_VALUE"""),"с ЕГАИС, БАЗОВЫЙ")</f>
        <v>с ЕГАИС, БАЗОВЫЙ</v>
      </c>
      <c r="C58" s="4" t="str">
        <f ca="1">IFERROR(__xludf.DUMMYFUNCTION("""COMPUTED_VALUE"""),"UP2-RTL15AE-1CERP24")</f>
        <v>UP2-RTL15AE-1CERP24</v>
      </c>
      <c r="D58" s="4" t="str">
        <f ca="1">IFERROR(__xludf.DUMMYFUNCTION("""COMPUTED_VALUE"""),"Переход на Mobile SMARTS: Магазин 15 с ЕГАИС, БАЗОВЫЙ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доступны"&amp;"е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пр"&amp;"интер,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г"&amp;"од")</f>
        <v>Переход на Mobile SMARTS: Магазин 15 с ЕГАИС, БАЗОВЫЙ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8" s="4" t="str">
        <f ca="1">IFERROR(__xludf.DUMMYFUNCTION("""COMPUTED_VALUE"""),"Переход на Mobile SMARTS: Магазин 15 с ЕГАИС, БАЗОВЫЙ для «1С: ERP Управление предприятием 2.4», для работы с маркированным товаром: алкоголь ЕГАИС и товары по штрихкодам ")</f>
        <v xml:space="preserve">Переход на Mobile SMARTS: Магазин 15 с ЕГАИС, БАЗОВЫЙ для «1С: ERP Управление предприятием 2.4», для работы с маркированным товаром: алкоголь ЕГАИС и товары по штрихкодам </v>
      </c>
      <c r="F58" s="5">
        <f ca="1">IFERROR(__xludf.DUMMYFUNCTION("""COMPUTED_VALUE"""),5500)</f>
        <v>5500</v>
      </c>
    </row>
    <row r="59" spans="1:6" ht="44.25" customHeight="1" x14ac:dyDescent="0.2">
      <c r="A59" s="4" t="str">
        <f ca="1">IFERROR(__xludf.DUMMYFUNCTION("""COMPUTED_VALUE"""),"«1С: ERP Управление предприятием 2.4»")</f>
        <v>«1С: ERP Управление предприятием 2.4»</v>
      </c>
      <c r="B59" s="4" t="str">
        <f ca="1">IFERROR(__xludf.DUMMYFUNCTION("""COMPUTED_VALUE"""),"с ЕГАИС, РАСШИРЕННЫЙ")</f>
        <v>с ЕГАИС, РАСШИРЕННЫЙ</v>
      </c>
      <c r="C59" s="4" t="str">
        <f ca="1">IFERROR(__xludf.DUMMYFUNCTION("""COMPUTED_VALUE"""),"UP2-RTL15BE-1CERP24")</f>
        <v>UP2-RTL15BE-1CERP24</v>
      </c>
      <c r="D59" s="4" t="str">
        <f ca="1">IFERROR(__xludf.DUMMYFUNCTION("""COMPUTED_VALUE"""),"Переход на Mobile SMARTS: Магазин 15 с ЕГАИС, РАСШИРЕННЫЙ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дост"&amp;"упные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мобильны"&amp;"й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Переход на Mobile SMARTS: Магазин 15 с ЕГАИС, РАСШИРЕННЫЙ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" s="4" t="str">
        <f ca="1">IFERROR(__xludf.DUMMYFUNCTION("""COMPUTED_VALUE"""),"Переход на Mobile SMARTS: Магазин 15 с ЕГАИС, РАСШИРЕННЫЙ для «1С: ERP Управление предприятием 2.4»,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ERP Управление предприятием 2.4», для работы с маркированным товаром: алкоголь ЕГАИС и товары по штрихкодам </v>
      </c>
      <c r="F59" s="5">
        <f ca="1">IFERROR(__xludf.DUMMYFUNCTION("""COMPUTED_VALUE"""),8725)</f>
        <v>8725</v>
      </c>
    </row>
    <row r="60" spans="1:6" ht="44.25" customHeight="1" x14ac:dyDescent="0.2">
      <c r="A60" s="4" t="str">
        <f ca="1">IFERROR(__xludf.DUMMYFUNCTION("""COMPUTED_VALUE"""),"«1С: ERP Управление предприятием 2.4»")</f>
        <v>«1С: ERP Управление предприятием 2.4»</v>
      </c>
      <c r="B60" s="4" t="str">
        <f ca="1">IFERROR(__xludf.DUMMYFUNCTION("""COMPUTED_VALUE"""),"с ЕГАИС (без CheckMark2), МЕГАМАРКЕТ")</f>
        <v>с ЕГАИС (без CheckMark2), МЕГАМАРКЕТ</v>
      </c>
      <c r="C60" s="4" t="str">
        <f ca="1">IFERROR(__xludf.DUMMYFUNCTION("""COMPUTED_VALUE"""),"UP2-RTL15CEV-1CERP24")</f>
        <v>UP2-RTL15CEV-1CERP24</v>
      </c>
      <c r="D60" s="4" t="str">
        <f ca="1">IFERROR(__xludf.DUMMYFUNCTION("""COMPUTED_VALUE"""),"Переход на 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ес"&amp;"ть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ко"&amp;"ллективная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Переход на 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" s="4" t="str">
        <f ca="1">IFERROR(__xludf.DUMMYFUNCTION("""COMPUTED_VALUE"""),"Переход на 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</v>
      </c>
      <c r="F60" s="5">
        <f ca="1">IFERROR(__xludf.DUMMYFUNCTION("""COMPUTED_VALUE"""),11925)</f>
        <v>11925</v>
      </c>
    </row>
    <row r="61" spans="1:6" ht="44.25" customHeight="1" x14ac:dyDescent="0.2">
      <c r="A61" s="4" t="str">
        <f ca="1">IFERROR(__xludf.DUMMYFUNCTION("""COMPUTED_VALUE"""),"«1С: ERP Управление предприятием 2.4.11»")</f>
        <v>«1С: ERP Управление предприятием 2.4.11»</v>
      </c>
      <c r="B61" s="4" t="str">
        <f ca="1">IFERROR(__xludf.DUMMYFUNCTION("""COMPUTED_VALUE"""),"с МОТП, БАЗОВЫЙ")</f>
        <v>с МОТП, БАЗОВЫЙ</v>
      </c>
      <c r="C61" s="4" t="str">
        <f ca="1">IFERROR(__xludf.DUMMYFUNCTION("""COMPUTED_VALUE"""),"UP2-RTL15AT-1CERP24")</f>
        <v>UP2-RTL15AT-1CERP24</v>
      </c>
      <c r="D61" s="4" t="str">
        <f ca="1">IFERROR(__xludf.DUMMYFUNCTION("""COMPUTED_VALUE"""),"Переход на Mobile SMARTS: Магазин 15 с МОТП, БАЗОВЫЙ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опера"&amp;"ции: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возможн"&amp;"ости: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(оди"&amp;"н) год")</f>
        <v>Переход на Mobile SMARTS: Магазин 15 с МОТП, БАЗОВЫЙ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" s="4" t="str">
        <f ca="1">IFERROR(__xludf.DUMMYFUNCTION("""COMPUTED_VALUE"""),"Переход на Mobile SMARTS: Магазин 15 с МОТП, БАЗОВЫЙ для «1С: ERP Управление предприятием 2.4.11», для работы с маркированным товаром: ТАБАК и товары по штрихкодам ")</f>
        <v xml:space="preserve">Переход на Mobile SMARTS: Магазин 15 с МОТП, БАЗОВЫЙ для «1С: ERP Управление предприятием 2.4.11», для работы с маркированным товаром: ТАБАК и товары по штрихкодам </v>
      </c>
      <c r="F61" s="5">
        <f ca="1">IFERROR(__xludf.DUMMYFUNCTION("""COMPUTED_VALUE"""),5575)</f>
        <v>5575</v>
      </c>
    </row>
    <row r="62" spans="1:6" ht="44.25" customHeight="1" x14ac:dyDescent="0.2">
      <c r="A62" s="4" t="str">
        <f ca="1">IFERROR(__xludf.DUMMYFUNCTION("""COMPUTED_VALUE"""),"«1С: ERP Управление предприятием 2.4.11»")</f>
        <v>«1С: ERP Управление предприятием 2.4.11»</v>
      </c>
      <c r="B62" s="4" t="str">
        <f ca="1">IFERROR(__xludf.DUMMYFUNCTION("""COMPUTED_VALUE"""),"с МОТП, РАСШИРЕННЫЙ")</f>
        <v>с МОТП, РАСШИРЕННЫЙ</v>
      </c>
      <c r="C62" s="4" t="str">
        <f ca="1">IFERROR(__xludf.DUMMYFUNCTION("""COMPUTED_VALUE"""),"UP2-RTL15BT-1CERP24")</f>
        <v>UP2-RTL15BT-1CERP24</v>
      </c>
      <c r="D62" s="4" t="str">
        <f ca="1">IFERROR(__xludf.DUMMYFUNCTION("""COMPUTED_VALUE"""),"Переход на Mobile SMARTS: Магазин 15 с МОТП, РАСШИРЕННЫЙ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Переход на Mobile SMARTS: Магазин 15 с МОТП, РАСШИРЕННЫЙ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2" s="4" t="str">
        <f ca="1">IFERROR(__xludf.DUMMYFUNCTION("""COMPUTED_VALUE"""),"Переход на Mobile SMARTS: Магазин 15 с МОТП, РАСШИРЕННЫЙ для «1С: ERP Управление предприятием 2.4.11», для работы с маркированным товаром: ТАБАК и товары по штрихкодам ")</f>
        <v xml:space="preserve">Переход на Mobile SMARTS: Магазин 15 с МОТП, РАСШИРЕННЫЙ для «1С: ERP Управление предприятием 2.4.11», для работы с маркированным товаром: ТАБАК и товары по штрихкодам </v>
      </c>
      <c r="F62" s="5">
        <f ca="1">IFERROR(__xludf.DUMMYFUNCTION("""COMPUTED_VALUE"""),8725)</f>
        <v>8725</v>
      </c>
    </row>
    <row r="63" spans="1:6" ht="44.25" customHeight="1" x14ac:dyDescent="0.2">
      <c r="A63" s="4" t="str">
        <f ca="1">IFERROR(__xludf.DUMMYFUNCTION("""COMPUTED_VALUE"""),"«1С: ERP Управление предприятием 2.4.11»")</f>
        <v>«1С: ERP Управление предприятием 2.4.11»</v>
      </c>
      <c r="B63" s="4" t="str">
        <f ca="1">IFERROR(__xludf.DUMMYFUNCTION("""COMPUTED_VALUE"""),"с МОТП, МЕГАМАРКЕТ")</f>
        <v>с МОТП, МЕГАМАРКЕТ</v>
      </c>
      <c r="C63" s="4" t="str">
        <f ca="1">IFERROR(__xludf.DUMMYFUNCTION("""COMPUTED_VALUE"""),"UP2-RTL15CT-1CERP24")</f>
        <v>UP2-RTL15CT-1CERP24</v>
      </c>
      <c r="D63" s="4" t="str">
        <f ca="1">IFERROR(__xludf.DUMMYFUNCTION("""COMPUTED_VALUE"""),"Переход на Mobile SMARTS: Магазин 15 с МОТП, МЕГАМАРКЕТ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оп"&amp;"ерации: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возм"&amp;"ожности: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Переход на Mobile SMARTS: Магазин 15 с МОТП, МЕГАМАРКЕТ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3" s="4" t="str">
        <f ca="1">IFERROR(__xludf.DUMMYFUNCTION("""COMPUTED_VALUE"""),"Переход на Mobile SMARTS: Магазин 15 с МОТП, МЕГАМАРКЕТ для «1С: ERP Управление предприятием 2.4.11», для работы с маркированным товаром: ТАБАК и товары по штрихкодам ")</f>
        <v xml:space="preserve">Переход на Mobile SMARTS: Магазин 15 с МОТП, МЕГАМАРКЕТ для «1С: ERP Управление предприятием 2.4.11», для работы с маркированным товаром: ТАБАК и товары по штрихкодам </v>
      </c>
      <c r="F63" s="5">
        <f ca="1">IFERROR(__xludf.DUMMYFUNCTION("""COMPUTED_VALUE"""),11925)</f>
        <v>11925</v>
      </c>
    </row>
    <row r="64" spans="1:6" ht="44.25" customHeight="1" x14ac:dyDescent="0.2">
      <c r="A64" s="4" t="str">
        <f ca="1">IFERROR(__xludf.DUMMYFUNCTION("""COMPUTED_VALUE"""),"«1С: ERP Управление предприятием 2.4.11»")</f>
        <v>«1С: ERP Управление предприятием 2.4.11»</v>
      </c>
      <c r="B64" s="4" t="str">
        <f ca="1">IFERROR(__xludf.DUMMYFUNCTION("""COMPUTED_VALUE"""),"с ЕГАИС и МОТП, БАЗОВЫЙ")</f>
        <v>с ЕГАИС и МОТП, БАЗОВЫЙ</v>
      </c>
      <c r="C64" s="4" t="str">
        <f ca="1">IFERROR(__xludf.DUMMYFUNCTION("""COMPUTED_VALUE"""),"UP2-RTL15AET-1CERP24")</f>
        <v>UP2-RTL15AET-1CERP24</v>
      </c>
      <c r="D64" s="4" t="str">
        <f ca="1">IFERROR(__xludf.DUMMYFUNCTION("""COMPUTED_VALUE"""),"Переход на 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онлайна"&amp;"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пер"&amp;"емещение,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существ"&amp;"ующих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4" s="4" t="str">
        <f ca="1">IFERROR(__xludf.DUMMYFUNCTION("""COMPUTED_VALUE"""),"Переход на 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</v>
      </c>
      <c r="F64" s="5">
        <f ca="1">IFERROR(__xludf.DUMMYFUNCTION("""COMPUTED_VALUE"""),6075)</f>
        <v>6075</v>
      </c>
    </row>
    <row r="65" spans="1:6" ht="44.25" customHeight="1" x14ac:dyDescent="0.2">
      <c r="A65" s="4" t="str">
        <f ca="1">IFERROR(__xludf.DUMMYFUNCTION("""COMPUTED_VALUE"""),"«1С: ERP Управление предприятием 2.4.11»")</f>
        <v>«1С: ERP Управление предприятием 2.4.11»</v>
      </c>
      <c r="B65" s="4" t="str">
        <f ca="1">IFERROR(__xludf.DUMMYFUNCTION("""COMPUTED_VALUE"""),"с ЕГАИС и МОТП, РАСШИРЕННЫЙ")</f>
        <v>с ЕГАИС и МОТП, РАСШИРЕННЫЙ</v>
      </c>
      <c r="C65" s="4" t="str">
        <f ca="1">IFERROR(__xludf.DUMMYFUNCTION("""COMPUTED_VALUE"""),"UP2-RTL15BET-1CERP24")</f>
        <v>UP2-RTL15BET-1CERP24</v>
      </c>
      <c r="D65" s="4" t="str">
        <f ca="1">IFERROR(__xludf.DUMMYFUNCTION("""COMPUTED_VALUE"""),"Переход на 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ОН"&amp;"ЛАЙН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КМ),"&amp;"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сущ"&amp;"ествующих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5" s="4" t="str">
        <f ca="1">IFERROR(__xludf.DUMMYFUNCTION("""COMPUTED_VALUE"""),"Переход на 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</v>
      </c>
      <c r="F65" s="5">
        <f ca="1">IFERROR(__xludf.DUMMYFUNCTION("""COMPUTED_VALUE"""),9275)</f>
        <v>9275</v>
      </c>
    </row>
    <row r="66" spans="1:6" ht="44.25" customHeight="1" x14ac:dyDescent="0.2">
      <c r="A66" s="4" t="str">
        <f ca="1">IFERROR(__xludf.DUMMYFUNCTION("""COMPUTED_VALUE"""),"«1С: ERP Управление предприятием 2.4.11»")</f>
        <v>«1С: ERP Управление предприятием 2.4.11»</v>
      </c>
      <c r="B66" s="4" t="str">
        <f ca="1">IFERROR(__xludf.DUMMYFUNCTION("""COMPUTED_VALUE"""),"с ЕГАИС и МОТП, МЕГАМАРКЕТ")</f>
        <v>с ЕГАИС и МОТП, МЕГАМАРКЕТ</v>
      </c>
      <c r="C66" s="4" t="str">
        <f ca="1">IFERROR(__xludf.DUMMYFUNCTION("""COMPUTED_VALUE"""),"UP2-RTL15CET-1CERP24")</f>
        <v>UP2-RTL15CET-1CERP24</v>
      </c>
      <c r="D66" s="4" t="str">
        <f ca="1">IFERROR(__xludf.DUMMYFUNCTION("""COMPUTED_VALUE"""),"Переход на 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ОНЛ"&amp;"АЙН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"&amp;"перемещение,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6" s="4" t="str">
        <f ca="1">IFERROR(__xludf.DUMMYFUNCTION("""COMPUTED_VALUE"""),"Переход на 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</v>
      </c>
      <c r="F66" s="5">
        <f ca="1">IFERROR(__xludf.DUMMYFUNCTION("""COMPUTED_VALUE"""),13175)</f>
        <v>13175</v>
      </c>
    </row>
    <row r="67" spans="1:6" ht="44.25" customHeight="1" x14ac:dyDescent="0.2">
      <c r="A67" s="4" t="str">
        <f ca="1">IFERROR(__xludf.DUMMYFUNCTION("""COMPUTED_VALUE"""),"«1С: ERP Управление предприятием 2.4.11»")</f>
        <v>«1С: ERP Управление предприятием 2.4.11»</v>
      </c>
      <c r="B67" s="4" t="str">
        <f ca="1">IFERROR(__xludf.DUMMYFUNCTION("""COMPUTED_VALUE"""),"ШМОТКИ, БАЗОВЫЙ")</f>
        <v>ШМОТКИ, БАЗОВЫЙ</v>
      </c>
      <c r="C67" s="4" t="str">
        <f ca="1">IFERROR(__xludf.DUMMYFUNCTION("""COMPUTED_VALUE"""),"UP2-RTL15AK-1CERP24")</f>
        <v>UP2-RTL15AK-1CERP24</v>
      </c>
      <c r="D67" s="4" t="str">
        <f ca="1">IFERROR(__xludf.DUMMYFUNCTION("""COMPUTED_VALUE"""),"Переход на 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онл"&amp;"айна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прове"&amp;"рка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Переход на 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7" s="4" t="str">
        <f ca="1">IFERROR(__xludf.DUMMYFUNCTION("""COMPUTED_VALUE"""),"Переход на 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</v>
      </c>
      <c r="F67" s="5">
        <f ca="1">IFERROR(__xludf.DUMMYFUNCTION("""COMPUTED_VALUE"""),6075)</f>
        <v>6075</v>
      </c>
    </row>
    <row r="68" spans="1:6" ht="44.25" customHeight="1" x14ac:dyDescent="0.2">
      <c r="A68" s="4" t="str">
        <f ca="1">IFERROR(__xludf.DUMMYFUNCTION("""COMPUTED_VALUE"""),"«1С: ERP Управление предприятием 2.4.11»")</f>
        <v>«1С: ERP Управление предприятием 2.4.11»</v>
      </c>
      <c r="B68" s="4" t="str">
        <f ca="1">IFERROR(__xludf.DUMMYFUNCTION("""COMPUTED_VALUE"""),"ШМОТКИ, РАСШИРЕННЫЙ")</f>
        <v>ШМОТКИ, РАСШИРЕННЫЙ</v>
      </c>
      <c r="C68" s="4" t="str">
        <f ca="1">IFERROR(__xludf.DUMMYFUNCTION("""COMPUTED_VALUE"""),"UP2-RTL15BK-1CERP24")</f>
        <v>UP2-RTL15BK-1CERP24</v>
      </c>
      <c r="D68" s="4" t="str">
        <f ca="1">IFERROR(__xludf.DUMMYFUNCTION("""COMPUTED_VALUE"""),"Переход на 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ест"&amp;"ь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п"&amp;"роверка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обме"&amp;"н через Интернет на 1 (один) год")</f>
        <v>Переход на 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8" s="4" t="str">
        <f ca="1">IFERROR(__xludf.DUMMYFUNCTION("""COMPUTED_VALUE"""),"Переход на 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</v>
      </c>
      <c r="F68" s="5">
        <f ca="1">IFERROR(__xludf.DUMMYFUNCTION("""COMPUTED_VALUE"""),9275)</f>
        <v>9275</v>
      </c>
    </row>
    <row r="69" spans="1:6" ht="44.25" customHeight="1" x14ac:dyDescent="0.2">
      <c r="A69" s="4" t="str">
        <f ca="1">IFERROR(__xludf.DUMMYFUNCTION("""COMPUTED_VALUE"""),"«1С: ERP Управление предприятием 2.4.11»")</f>
        <v>«1С: ERP Управление предприятием 2.4.11»</v>
      </c>
      <c r="B69" s="4" t="str">
        <f ca="1">IFERROR(__xludf.DUMMYFUNCTION("""COMPUTED_VALUE"""),"ШМОТКИ, МЕГАМАРКЕТ")</f>
        <v>ШМОТКИ, МЕГАМАРКЕТ</v>
      </c>
      <c r="C69" s="4" t="str">
        <f ca="1">IFERROR(__xludf.DUMMYFUNCTION("""COMPUTED_VALUE"""),"UP2-RTL15CK-1CERP24")</f>
        <v>UP2-RTL15CK-1CERP24</v>
      </c>
      <c r="D69" s="4" t="str">
        <f ca="1">IFERROR(__xludf.DUMMYFUNCTION("""COMPUTED_VALUE"""),"Переход на 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есть"&amp;"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пр"&amp;"оверка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"&amp;"на обновления и обмен через Интернет на 1 (один) год")</f>
        <v>Переход на 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9" s="4" t="str">
        <f ca="1">IFERROR(__xludf.DUMMYFUNCTION("""COMPUTED_VALUE"""),"Переход на 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</v>
      </c>
      <c r="F69" s="5">
        <f ca="1">IFERROR(__xludf.DUMMYFUNCTION("""COMPUTED_VALUE"""),13175)</f>
        <v>13175</v>
      </c>
    </row>
    <row r="70" spans="1:6" ht="44.25" customHeight="1" x14ac:dyDescent="0.2">
      <c r="A70" s="4" t="str">
        <f ca="1">IFERROR(__xludf.DUMMYFUNCTION("""COMPUTED_VALUE"""),"«1С: ERP Управление предприятием 2.4.11»")</f>
        <v>«1С: ERP Управление предприятием 2.4.11»</v>
      </c>
      <c r="B70" s="4" t="str">
        <f ca="1">IFERROR(__xludf.DUMMYFUNCTION("""COMPUTED_VALUE"""),"ПРОДУКТОВЫЙ, БАЗОВЫЙ")</f>
        <v>ПРОДУКТОВЫЙ, БАЗОВЫЙ</v>
      </c>
      <c r="C70" s="4" t="str">
        <f ca="1">IFERROR(__xludf.DUMMYFUNCTION("""COMPUTED_VALUE"""),"UP2-RTL15AG-1CERP24")</f>
        <v>UP2-RTL15AG-1CERP24</v>
      </c>
      <c r="D70" s="4" t="str">
        <f ca="1">IFERROR(__xludf.DUMMYFUNCTION("""COMPUTED_VALUE"""),"Переход на 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беспро"&amp;"водной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возвра"&amp;"т,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о"&amp;"статках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0" s="4" t="str">
        <f ca="1">IFERROR(__xludf.DUMMYFUNCTION("""COMPUTED_VALUE"""),"Переход на 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</v>
      </c>
      <c r="F70" s="5">
        <f ca="1">IFERROR(__xludf.DUMMYFUNCTION("""COMPUTED_VALUE"""),7275)</f>
        <v>7275</v>
      </c>
    </row>
    <row r="71" spans="1:6" ht="44.25" customHeight="1" x14ac:dyDescent="0.2">
      <c r="A71" s="4" t="str">
        <f ca="1">IFERROR(__xludf.DUMMYFUNCTION("""COMPUTED_VALUE"""),"«1С: ERP Управление предприятием 2.4.11»")</f>
        <v>«1С: ERP Управление предприятием 2.4.11»</v>
      </c>
      <c r="B71" s="4" t="str">
        <f ca="1">IFERROR(__xludf.DUMMYFUNCTION("""COMPUTED_VALUE"""),"ПРОДУКТОВЫЙ, РАСШИРЕННЫЙ")</f>
        <v>ПРОДУКТОВЫЙ, РАСШИРЕННЫЙ</v>
      </c>
      <c r="C71" s="4" t="str">
        <f ca="1">IFERROR(__xludf.DUMMYFUNCTION("""COMPUTED_VALUE"""),"UP2-RTL15BG-1CERP24")</f>
        <v>UP2-RTL15BG-1CERP24</v>
      </c>
      <c r="D71" s="4" t="str">
        <f ca="1">IFERROR(__xludf.DUMMYFUNCTION("""COMPUTED_VALUE"""),"Переход на 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бе"&amp;"спроводной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во"&amp;"зврат,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контрагента"&amp;"х,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1" s="4" t="str">
        <f ca="1">IFERROR(__xludf.DUMMYFUNCTION("""COMPUTED_VALUE"""),"Переход на 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</v>
      </c>
      <c r="F71" s="5">
        <f ca="1">IFERROR(__xludf.DUMMYFUNCTION("""COMPUTED_VALUE"""),10475)</f>
        <v>10475</v>
      </c>
    </row>
    <row r="72" spans="1:6" ht="44.25" customHeight="1" x14ac:dyDescent="0.2">
      <c r="A72" s="4" t="str">
        <f ca="1">IFERROR(__xludf.DUMMYFUNCTION("""COMPUTED_VALUE"""),"«1С: ERP Управление предприятием 2.4.11»")</f>
        <v>«1С: ERP Управление предприятием 2.4.11»</v>
      </c>
      <c r="B72" s="4" t="str">
        <f ca="1">IFERROR(__xludf.DUMMYFUNCTION("""COMPUTED_VALUE"""),"ПРОДУКТОВЫЙ, МЕГАМАРКЕТ")</f>
        <v>ПРОДУКТОВЫЙ, МЕГАМАРКЕТ</v>
      </c>
      <c r="C72" s="4" t="str">
        <f ca="1">IFERROR(__xludf.DUMMYFUNCTION("""COMPUTED_VALUE"""),"UP2-RTL15CG-1CERP24")</f>
        <v>UP2-RTL15CG-1CERP24</v>
      </c>
      <c r="D72" s="4" t="str">
        <f ca="1">IFERROR(__xludf.DUMMYFUNCTION("""COMPUTED_VALUE"""),"Переход на 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бес"&amp;"проводной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воз"&amp;"врат,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"&amp;"складах,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2" s="4" t="str">
        <f ca="1">IFERROR(__xludf.DUMMYFUNCTION("""COMPUTED_VALUE"""),"Переход на 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</v>
      </c>
      <c r="F72" s="5">
        <f ca="1">IFERROR(__xludf.DUMMYFUNCTION("""COMPUTED_VALUE"""),14125)</f>
        <v>14125</v>
      </c>
    </row>
    <row r="73" spans="1:6" ht="44.25" customHeight="1" x14ac:dyDescent="0.2">
      <c r="A73" s="4" t="str">
        <f ca="1">IFERROR(__xludf.DUMMYFUNCTION("""COMPUTED_VALUE"""),"«1С: ERP Управление предприятием 2.5»")</f>
        <v>«1С: ERP Управление предприятием 2.5»</v>
      </c>
      <c r="B73" s="4" t="str">
        <f ca="1">IFERROR(__xludf.DUMMYFUNCTION("""COMPUTED_VALUE"""),"МИНИМУМ")</f>
        <v>МИНИМУМ</v>
      </c>
      <c r="C73" s="4" t="str">
        <f ca="1">IFERROR(__xludf.DUMMYFUNCTION("""COMPUTED_VALUE"""),"UP2-RTL15M-1CERP25")</f>
        <v>UP2-RTL15M-1CERP25</v>
      </c>
      <c r="D73" s="4" t="str">
        <f ca="1">IFERROR(__xludf.DUMMYFUNCTION("""COMPUTED_VALUE"""),"Переход на Mobile SMARTS: Магазин 15, МИНИМУМ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пр"&amp;"осмотр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Инте"&amp;"рнет на 1 (один) год")</f>
        <v>Переход на Mobile SMARTS: Магазин 15, МИНИМУМ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73" s="4" t="str">
        <f ca="1">IFERROR(__xludf.DUMMYFUNCTION("""COMPUTED_VALUE"""),"Переход на Mobile SMARTS: Магазин 15, МИНИМУМ для «1С: ERP Управление предприятием 2.5», для работы с товаром по штрихкодам ")</f>
        <v xml:space="preserve">Переход на Mobile SMARTS: Магазин 15, МИНИМУМ для «1С: ERP Управление предприятием 2.5», для работы с товаром по штрихкодам </v>
      </c>
      <c r="F73" s="5">
        <f ca="1">IFERROR(__xludf.DUMMYFUNCTION("""COMPUTED_VALUE"""),1725)</f>
        <v>1725</v>
      </c>
    </row>
    <row r="74" spans="1:6" ht="44.25" customHeight="1" x14ac:dyDescent="0.2">
      <c r="A74" s="4" t="str">
        <f ca="1">IFERROR(__xludf.DUMMYFUNCTION("""COMPUTED_VALUE"""),"«1С: ERP Управление предприятием 2.5»")</f>
        <v>«1С: ERP Управление предприятием 2.5»</v>
      </c>
      <c r="B74" s="4" t="str">
        <f ca="1">IFERROR(__xludf.DUMMYFUNCTION("""COMPUTED_VALUE"""),"БАЗОВЫЙ")</f>
        <v>БАЗОВЫЙ</v>
      </c>
      <c r="C74" s="4" t="str">
        <f ca="1">IFERROR(__xludf.DUMMYFUNCTION("""COMPUTED_VALUE"""),"UP2-RTL15A-1CERP25")</f>
        <v>UP2-RTL15A-1CERP25</v>
      </c>
      <c r="D74" s="4" t="str">
        <f ca="1">IFERROR(__xludf.DUMMYFUNCTION("""COMPUTED_VALUE"""),"Переход на Mobile SMARTS: Магазин 15, БАЗОВЫЙ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измен"&amp;"ение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4" s="4" t="str">
        <f ca="1">IFERROR(__xludf.DUMMYFUNCTION("""COMPUTED_VALUE"""),"Переход на Mobile SMARTS: Магазин 15, БАЗОВЫЙ для «1С: ERP Управление предприятием 2.5», для работы с товаром по штрихкодам ")</f>
        <v xml:space="preserve">Переход на Mobile SMARTS: Магазин 15, БАЗОВЫЙ для «1С: ERP Управление предприятием 2.5», для работы с товаром по штрихкодам </v>
      </c>
      <c r="F74" s="5">
        <f ca="1">IFERROR(__xludf.DUMMYFUNCTION("""COMPUTED_VALUE"""),4325)</f>
        <v>4325</v>
      </c>
    </row>
    <row r="75" spans="1:6" ht="44.25" customHeight="1" x14ac:dyDescent="0.2">
      <c r="A75" s="4" t="str">
        <f ca="1">IFERROR(__xludf.DUMMYFUNCTION("""COMPUTED_VALUE"""),"«1С: ERP Управление предприятием 2.5»")</f>
        <v>«1С: ERP Управление предприятием 2.5»</v>
      </c>
      <c r="B75" s="4" t="str">
        <f ca="1">IFERROR(__xludf.DUMMYFUNCTION("""COMPUTED_VALUE"""),"РАСШИРЕННЫЙ")</f>
        <v>РАСШИРЕННЫЙ</v>
      </c>
      <c r="C75" s="4" t="str">
        <f ca="1">IFERROR(__xludf.DUMMYFUNCTION("""COMPUTED_VALUE"""),"UP2-RTL15B-1CERP25")</f>
        <v>UP2-RTL15B-1CERP25</v>
      </c>
      <c r="D75" s="4" t="str">
        <f ca="1">IFERROR(__xludf.DUMMYFUNCTION("""COMPUTED_VALUE"""),"Переход на Mobile SMARTS: Магазин 15, РАСШИРЕННЫЙ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пе"&amp;"реоценка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5" s="4" t="str">
        <f ca="1">IFERROR(__xludf.DUMMYFUNCTION("""COMPUTED_VALUE"""),"Переход на Mobile SMARTS: Магазин 15, РАСШИРЕННЫЙ для «1С: ERP Управление предприятием 2.5», для работы с товаром по штрихкодам ")</f>
        <v xml:space="preserve">Переход на Mobile SMARTS: Магазин 15, РАСШИРЕННЫЙ для «1С: ERP Управление предприятием 2.5», для работы с товаром по штрихкодам </v>
      </c>
      <c r="F75" s="5">
        <f ca="1">IFERROR(__xludf.DUMMYFUNCTION("""COMPUTED_VALUE"""),7525)</f>
        <v>7525</v>
      </c>
    </row>
    <row r="76" spans="1:6" ht="44.25" customHeight="1" x14ac:dyDescent="0.2">
      <c r="A76" s="4" t="str">
        <f ca="1">IFERROR(__xludf.DUMMYFUNCTION("""COMPUTED_VALUE"""),"«1С: ERP Управление предприятием 2.5»")</f>
        <v>«1С: ERP Управление предприятием 2.5»</v>
      </c>
      <c r="B76" s="4" t="str">
        <f ca="1">IFERROR(__xludf.DUMMYFUNCTION("""COMPUTED_VALUE"""),"МЕГАМАРКЕТ")</f>
        <v>МЕГАМАРКЕТ</v>
      </c>
      <c r="C76" s="4" t="str">
        <f ca="1">IFERROR(__xludf.DUMMYFUNCTION("""COMPUTED_VALUE"""),"UP2-RTL15C-1CERP25")</f>
        <v>UP2-RTL15C-1CERP25</v>
      </c>
      <c r="D76" s="4" t="str">
        <f ca="1">IFERROR(__xludf.DUMMYFUNCTION("""COMPUTED_VALUE"""),"Переход на Mobile SMARTS: Магазин 15, МЕГАМАРКЕТ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пер"&amp;"еоценка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6" s="4" t="str">
        <f ca="1">IFERROR(__xludf.DUMMYFUNCTION("""COMPUTED_VALUE"""),"Переход на Mobile SMARTS: Магазин 15, МЕГАМАРКЕТ для «1С: ERP Управление предприятием 2.5», для работы с товаром по штрихкодам ")</f>
        <v xml:space="preserve">Переход на Mobile SMARTS: Магазин 15, МЕГАМАРКЕТ для «1С: ERP Управление предприятием 2.5», для работы с товаром по штрихкодам </v>
      </c>
      <c r="F76" s="5">
        <f ca="1">IFERROR(__xludf.DUMMYFUNCTION("""COMPUTED_VALUE"""),10775)</f>
        <v>10775</v>
      </c>
    </row>
    <row r="77" spans="1:6" ht="44.25" customHeight="1" x14ac:dyDescent="0.2">
      <c r="A77" s="4" t="str">
        <f ca="1">IFERROR(__xludf.DUMMYFUNCTION("""COMPUTED_VALUE"""),"«1С: ERP Управление предприятием 2.5»")</f>
        <v>«1С: ERP Управление предприятием 2.5»</v>
      </c>
      <c r="B77" s="4" t="str">
        <f ca="1">IFERROR(__xludf.DUMMYFUNCTION("""COMPUTED_VALUE"""),"с ЕГАИС, БАЗОВЫЙ")</f>
        <v>с ЕГАИС, БАЗОВЫЙ</v>
      </c>
      <c r="C77" s="4" t="str">
        <f ca="1">IFERROR(__xludf.DUMMYFUNCTION("""COMPUTED_VALUE"""),"UP2-RTL15AE-1CERP25")</f>
        <v>UP2-RTL15AE-1CERP25</v>
      </c>
      <c r="D77" s="4" t="str">
        <f ca="1">IFERROR(__xludf.DUMMYFUNCTION("""COMPUTED_VALUE"""),"Переход на Mobile SMARTS: Магазин 15 с ЕГАИС, БАЗОВЫЙ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доступны"&amp;"е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пр"&amp;"интер,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г"&amp;"од")</f>
        <v>Переход на Mobile SMARTS: Магазин 15 с ЕГАИС, БАЗОВЫЙ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77" s="4" t="str">
        <f ca="1">IFERROR(__xludf.DUMMYFUNCTION("""COMPUTED_VALUE"""),"Переход на Mobile SMARTS: Магазин 15 с ЕГАИС, БАЗОВЫЙ для «1С: ERP Управление предприятием 2.5», для работы с маркированным товаром: алкоголь ЕГАИС и товары по штрихкодам ")</f>
        <v xml:space="preserve">Переход на Mobile SMARTS: Магазин 15 с ЕГАИС, БАЗОВЫЙ для «1С: ERP Управление предприятием 2.5», для работы с маркированным товаром: алкоголь ЕГАИС и товары по штрихкодам </v>
      </c>
      <c r="F77" s="5">
        <f ca="1">IFERROR(__xludf.DUMMYFUNCTION("""COMPUTED_VALUE"""),5500)</f>
        <v>5500</v>
      </c>
    </row>
    <row r="78" spans="1:6" ht="44.25" customHeight="1" x14ac:dyDescent="0.2">
      <c r="A78" s="4" t="str">
        <f ca="1">IFERROR(__xludf.DUMMYFUNCTION("""COMPUTED_VALUE"""),"«1С: ERP Управление предприятием 2.5»")</f>
        <v>«1С: ERP Управление предприятием 2.5»</v>
      </c>
      <c r="B78" s="4" t="str">
        <f ca="1">IFERROR(__xludf.DUMMYFUNCTION("""COMPUTED_VALUE"""),"с ЕГАИС, РАСШИРЕННЫЙ")</f>
        <v>с ЕГАИС, РАСШИРЕННЫЙ</v>
      </c>
      <c r="C78" s="4" t="str">
        <f ca="1">IFERROR(__xludf.DUMMYFUNCTION("""COMPUTED_VALUE"""),"UP2-RTL15BE-1CERP25")</f>
        <v>UP2-RTL15BE-1CERP25</v>
      </c>
      <c r="D78" s="4" t="str">
        <f ca="1">IFERROR(__xludf.DUMMYFUNCTION("""COMPUTED_VALUE"""),"Переход на Mobile SMARTS: Магазин 15 с ЕГАИС, РАСШИРЕННЫЙ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дост"&amp;"упные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мобильны"&amp;"й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Переход на Mobile SMARTS: Магазин 15 с ЕГАИС, РАСШИРЕННЫЙ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8" s="4" t="str">
        <f ca="1">IFERROR(__xludf.DUMMYFUNCTION("""COMPUTED_VALUE"""),"Переход на Mobile SMARTS: Магазин 15 с ЕГАИС, РАСШИРЕННЫЙ для «1С: ERP Управление предприятием 2.5»,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ERP Управление предприятием 2.5», для работы с маркированным товаром: алкоголь ЕГАИС и товары по штрихкодам </v>
      </c>
      <c r="F78" s="5">
        <f ca="1">IFERROR(__xludf.DUMMYFUNCTION("""COMPUTED_VALUE"""),8725)</f>
        <v>8725</v>
      </c>
    </row>
    <row r="79" spans="1:6" ht="44.25" customHeight="1" x14ac:dyDescent="0.2">
      <c r="A79" s="4" t="str">
        <f ca="1">IFERROR(__xludf.DUMMYFUNCTION("""COMPUTED_VALUE"""),"«1С: ERP Управление предприятием 2.5»")</f>
        <v>«1С: ERP Управление предприятием 2.5»</v>
      </c>
      <c r="B79" s="4" t="str">
        <f ca="1">IFERROR(__xludf.DUMMYFUNCTION("""COMPUTED_VALUE"""),"с ЕГАИС (без CheckMark2), МЕГАМАРКЕТ")</f>
        <v>с ЕГАИС (без CheckMark2), МЕГАМАРКЕТ</v>
      </c>
      <c r="C79" s="4" t="str">
        <f ca="1">IFERROR(__xludf.DUMMYFUNCTION("""COMPUTED_VALUE"""),"UP2-RTL15CEV-1CERP25")</f>
        <v>UP2-RTL15CEV-1CERP25</v>
      </c>
      <c r="D79" s="4" t="str">
        <f ca="1">IFERROR(__xludf.DUMMYFUNCTION("""COMPUTED_VALUE"""),"Переход на 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ес"&amp;"ть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ко"&amp;"ллективная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Переход на 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9" s="4" t="str">
        <f ca="1">IFERROR(__xludf.DUMMYFUNCTION("""COMPUTED_VALUE"""),"Переход на 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</v>
      </c>
      <c r="F79" s="5">
        <f ca="1">IFERROR(__xludf.DUMMYFUNCTION("""COMPUTED_VALUE"""),11925)</f>
        <v>11925</v>
      </c>
    </row>
    <row r="80" spans="1:6" ht="44.25" customHeight="1" x14ac:dyDescent="0.2">
      <c r="A80" s="4" t="str">
        <f ca="1">IFERROR(__xludf.DUMMYFUNCTION("""COMPUTED_VALUE"""),"«1С: ERP Управление предприятием 2.5»")</f>
        <v>«1С: ERP Управление предприятием 2.5»</v>
      </c>
      <c r="B80" s="4" t="str">
        <f ca="1">IFERROR(__xludf.DUMMYFUNCTION("""COMPUTED_VALUE"""),"с МОТП, БАЗОВЫЙ")</f>
        <v>с МОТП, БАЗОВЫЙ</v>
      </c>
      <c r="C80" s="4" t="str">
        <f ca="1">IFERROR(__xludf.DUMMYFUNCTION("""COMPUTED_VALUE"""),"UP2-RTL15AT-1CERP25")</f>
        <v>UP2-RTL15AT-1CERP25</v>
      </c>
      <c r="D80" s="4" t="str">
        <f ca="1">IFERROR(__xludf.DUMMYFUNCTION("""COMPUTED_VALUE"""),"Переход на Mobile SMARTS: Магазин 15 с МОТП, БАЗОВЫЙ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операции"&amp;":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возможност"&amp;"и: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"&amp;"год")</f>
        <v>Переход на Mobile SMARTS: Магазин 15 с МОТП, БАЗОВЫЙ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0" s="4" t="str">
        <f ca="1">IFERROR(__xludf.DUMMYFUNCTION("""COMPUTED_VALUE"""),"Переход на Mobile SMARTS: Магазин 15 с МОТП, БАЗОВЫЙ для «1С: ERP Управление предприятием 2.5», для работы с маркированным товаром: ТАБАК и товары по штрихкодам ")</f>
        <v xml:space="preserve">Переход на Mobile SMARTS: Магазин 15 с МОТП, БАЗОВЫЙ для «1С: ERP Управление предприятием 2.5», для работы с маркированным товаром: ТАБАК и товары по штрихкодам </v>
      </c>
      <c r="F80" s="5">
        <f ca="1">IFERROR(__xludf.DUMMYFUNCTION("""COMPUTED_VALUE"""),5575)</f>
        <v>5575</v>
      </c>
    </row>
    <row r="81" spans="1:6" ht="44.25" customHeight="1" x14ac:dyDescent="0.2">
      <c r="A81" s="4" t="str">
        <f ca="1">IFERROR(__xludf.DUMMYFUNCTION("""COMPUTED_VALUE"""),"«1С: ERP Управление предприятием 2.5»")</f>
        <v>«1С: ERP Управление предприятием 2.5»</v>
      </c>
      <c r="B81" s="4" t="str">
        <f ca="1">IFERROR(__xludf.DUMMYFUNCTION("""COMPUTED_VALUE"""),"с МОТП, РАСШИРЕННЫЙ")</f>
        <v>с МОТП, РАСШИРЕННЫЙ</v>
      </c>
      <c r="C81" s="4" t="str">
        <f ca="1">IFERROR(__xludf.DUMMYFUNCTION("""COMPUTED_VALUE"""),"UP2-RTL15BT-1CERP25")</f>
        <v>UP2-RTL15BT-1CERP25</v>
      </c>
      <c r="D81" s="4" t="str">
        <f ca="1">IFERROR(__xludf.DUMMYFUNCTION("""COMPUTED_VALUE"""),"Переход на Mobile SMARTS: Магазин 15 с МОТП, РАСШИРЕННЫЙ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опер"&amp;"ации: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возмож"&amp;"ности: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(од"&amp;"ин) год")</f>
        <v>Переход на Mobile SMARTS: Магазин 15 с МОТП, РАСШИРЕННЫЙ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1" s="4" t="str">
        <f ca="1">IFERROR(__xludf.DUMMYFUNCTION("""COMPUTED_VALUE"""),"Переход на Mobile SMARTS: Магазин 15 с МОТП, РАСШИРЕННЫЙ для «1С: ERP Управление предприятием 2.5», для работы с маркированным товаром: ТАБАК и товары по штрихкодам ")</f>
        <v xml:space="preserve">Переход на Mobile SMARTS: Магазин 15 с МОТП, РАСШИРЕННЫЙ для «1С: ERP Управление предприятием 2.5», для работы с маркированным товаром: ТАБАК и товары по штрихкодам </v>
      </c>
      <c r="F81" s="5">
        <f ca="1">IFERROR(__xludf.DUMMYFUNCTION("""COMPUTED_VALUE"""),8725)</f>
        <v>8725</v>
      </c>
    </row>
    <row r="82" spans="1:6" ht="44.25" customHeight="1" x14ac:dyDescent="0.2">
      <c r="A82" s="4" t="str">
        <f ca="1">IFERROR(__xludf.DUMMYFUNCTION("""COMPUTED_VALUE"""),"«1С: ERP Управление предприятием 2.5»")</f>
        <v>«1С: ERP Управление предприятием 2.5»</v>
      </c>
      <c r="B82" s="4" t="str">
        <f ca="1">IFERROR(__xludf.DUMMYFUNCTION("""COMPUTED_VALUE"""),"с МОТП, МЕГАМАРКЕТ")</f>
        <v>с МОТП, МЕГАМАРКЕТ</v>
      </c>
      <c r="C82" s="4" t="str">
        <f ca="1">IFERROR(__xludf.DUMMYFUNCTION("""COMPUTED_VALUE"""),"UP2-RTL15CT-1CERP25")</f>
        <v>UP2-RTL15CT-1CERP25</v>
      </c>
      <c r="D82" s="4" t="str">
        <f ca="1">IFERROR(__xludf.DUMMYFUNCTION("""COMPUTED_VALUE"""),"Переход на Mobile SMARTS: Магазин 15 с МОТП, МЕГАМАРКЕТ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опера"&amp;"ции: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возможн"&amp;"ости: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Переход на Mobile SMARTS: Магазин 15 с МОТП, МЕГАМАРКЕТ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2" s="4" t="str">
        <f ca="1">IFERROR(__xludf.DUMMYFUNCTION("""COMPUTED_VALUE"""),"Переход на Mobile SMARTS: Магазин 15 с МОТП, МЕГАМАРКЕТ для «1С: ERP Управление предприятием 2.5», для работы с маркированным товаром: ТАБАК и товары по штрихкодам ")</f>
        <v xml:space="preserve">Переход на Mobile SMARTS: Магазин 15 с МОТП, МЕГАМАРКЕТ для «1С: ERP Управление предприятием 2.5», для работы с маркированным товаром: ТАБАК и товары по штрихкодам </v>
      </c>
      <c r="F82" s="5">
        <f ca="1">IFERROR(__xludf.DUMMYFUNCTION("""COMPUTED_VALUE"""),11925)</f>
        <v>11925</v>
      </c>
    </row>
    <row r="83" spans="1:6" ht="44.25" customHeight="1" x14ac:dyDescent="0.2">
      <c r="A83" s="4" t="str">
        <f ca="1">IFERROR(__xludf.DUMMYFUNCTION("""COMPUTED_VALUE"""),"«1С: ERP Управление предприятием 2.5»")</f>
        <v>«1С: ERP Управление предприятием 2.5»</v>
      </c>
      <c r="B83" s="4" t="str">
        <f ca="1">IFERROR(__xludf.DUMMYFUNCTION("""COMPUTED_VALUE"""),"с ЕГАИС и МОТП, БАЗОВЫЙ")</f>
        <v>с ЕГАИС и МОТП, БАЗОВЫЙ</v>
      </c>
      <c r="C83" s="4" t="str">
        <f ca="1">IFERROR(__xludf.DUMMYFUNCTION("""COMPUTED_VALUE"""),"UP2-RTL15AET-1CERP25")</f>
        <v>UP2-RTL15AET-1CERP25</v>
      </c>
      <c r="D83" s="4" t="str">
        <f ca="1">IFERROR(__xludf.DUMMYFUNCTION("""COMPUTED_VALUE"""),"Переход на 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"&amp;"доступные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переме"&amp;"щение,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существующ"&amp;"их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3" s="4" t="str">
        <f ca="1">IFERROR(__xludf.DUMMYFUNCTION("""COMPUTED_VALUE"""),"Переход на 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</v>
      </c>
      <c r="F83" s="5">
        <f ca="1">IFERROR(__xludf.DUMMYFUNCTION("""COMPUTED_VALUE"""),6075)</f>
        <v>6075</v>
      </c>
    </row>
    <row r="84" spans="1:6" ht="44.25" customHeight="1" x14ac:dyDescent="0.2">
      <c r="A84" s="4" t="str">
        <f ca="1">IFERROR(__xludf.DUMMYFUNCTION("""COMPUTED_VALUE"""),"«1С: ERP Управление предприятием 2.5»")</f>
        <v>«1С: ERP Управление предприятием 2.5»</v>
      </c>
      <c r="B84" s="4" t="str">
        <f ca="1">IFERROR(__xludf.DUMMYFUNCTION("""COMPUTED_VALUE"""),"с ЕГАИС и МОТП, РАСШИРЕННЫЙ")</f>
        <v>с ЕГАИС и МОТП, РАСШИРЕННЫЙ</v>
      </c>
      <c r="C84" s="4" t="str">
        <f ca="1">IFERROR(__xludf.DUMMYFUNCTION("""COMPUTED_VALUE"""),"UP2-RTL15BET-1CERP25")</f>
        <v>UP2-RTL15BET-1CERP25</v>
      </c>
      <c r="D84" s="4" t="str">
        <f ca="1">IFERROR(__xludf.DUMMYFUNCTION("""COMPUTED_VALUE"""),"Переход на 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ОНЛАЙ"&amp;"Н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пе"&amp;"ремещение,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4" s="4" t="str">
        <f ca="1">IFERROR(__xludf.DUMMYFUNCTION("""COMPUTED_VALUE"""),"Переход на 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</v>
      </c>
      <c r="F84" s="5">
        <f ca="1">IFERROR(__xludf.DUMMYFUNCTION("""COMPUTED_VALUE"""),9275)</f>
        <v>9275</v>
      </c>
    </row>
    <row r="85" spans="1:6" ht="44.25" customHeight="1" x14ac:dyDescent="0.2">
      <c r="A85" s="4" t="str">
        <f ca="1">IFERROR(__xludf.DUMMYFUNCTION("""COMPUTED_VALUE"""),"«1С: ERP Управление предприятием 2.5»")</f>
        <v>«1С: ERP Управление предприятием 2.5»</v>
      </c>
      <c r="B85" s="4" t="str">
        <f ca="1">IFERROR(__xludf.DUMMYFUNCTION("""COMPUTED_VALUE"""),"с ЕГАИС и МОТП, МЕГАМАРКЕТ")</f>
        <v>с ЕГАИС и МОТП, МЕГАМАРКЕТ</v>
      </c>
      <c r="C85" s="4" t="str">
        <f ca="1">IFERROR(__xludf.DUMMYFUNCTION("""COMPUTED_VALUE"""),"UP2-RTL15CET-1CERP25")</f>
        <v>UP2-RTL15CET-1CERP25</v>
      </c>
      <c r="D85" s="4" t="str">
        <f ca="1">IFERROR(__xludf.DUMMYFUNCTION("""COMPUTED_VALUE"""),"Переход на 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ОНЛАЙН"&amp;"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пер"&amp;"емещение,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экран"&amp;"е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5" s="4" t="str">
        <f ca="1">IFERROR(__xludf.DUMMYFUNCTION("""COMPUTED_VALUE"""),"Переход на 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</v>
      </c>
      <c r="F85" s="5">
        <f ca="1">IFERROR(__xludf.DUMMYFUNCTION("""COMPUTED_VALUE"""),13175)</f>
        <v>13175</v>
      </c>
    </row>
    <row r="86" spans="1:6" ht="44.25" customHeight="1" x14ac:dyDescent="0.2">
      <c r="A86" s="4" t="str">
        <f ca="1">IFERROR(__xludf.DUMMYFUNCTION("""COMPUTED_VALUE"""),"«1С: ERP Управление предприятием 2.5»")</f>
        <v>«1С: ERP Управление предприятием 2.5»</v>
      </c>
      <c r="B86" s="4" t="str">
        <f ca="1">IFERROR(__xludf.DUMMYFUNCTION("""COMPUTED_VALUE"""),"ШМОТКИ, БАЗОВЫЙ")</f>
        <v>ШМОТКИ, БАЗОВЫЙ</v>
      </c>
      <c r="C86" s="4" t="str">
        <f ca="1">IFERROR(__xludf.DUMMYFUNCTION("""COMPUTED_VALUE"""),"UP2-RTL15AK-1CERP25")</f>
        <v>UP2-RTL15AK-1CERP25</v>
      </c>
      <c r="D86" s="4" t="str">
        <f ca="1">IFERROR(__xludf.DUMMYFUNCTION("""COMPUTED_VALUE"""),"Переход на 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онлайн"&amp;"а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Переход на 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6" s="4" t="str">
        <f ca="1">IFERROR(__xludf.DUMMYFUNCTION("""COMPUTED_VALUE"""),"Переход на 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</v>
      </c>
      <c r="F86" s="5">
        <f ca="1">IFERROR(__xludf.DUMMYFUNCTION("""COMPUTED_VALUE"""),6075)</f>
        <v>6075</v>
      </c>
    </row>
    <row r="87" spans="1:6" ht="44.25" customHeight="1" x14ac:dyDescent="0.2">
      <c r="A87" s="4" t="str">
        <f ca="1">IFERROR(__xludf.DUMMYFUNCTION("""COMPUTED_VALUE"""),"«1С: ERP Управление предприятием 2.5»")</f>
        <v>«1С: ERP Управление предприятием 2.5»</v>
      </c>
      <c r="B87" s="4" t="str">
        <f ca="1">IFERROR(__xludf.DUMMYFUNCTION("""COMPUTED_VALUE"""),"ШМОТКИ, РАСШИРЕННЫЙ")</f>
        <v>ШМОТКИ, РАСШИРЕННЫЙ</v>
      </c>
      <c r="C87" s="4" t="str">
        <f ca="1">IFERROR(__xludf.DUMMYFUNCTION("""COMPUTED_VALUE"""),"UP2-RTL15BK-1CERP25")</f>
        <v>UP2-RTL15BK-1CERP25</v>
      </c>
      <c r="D87" s="4" t="str">
        <f ca="1">IFERROR(__xludf.DUMMYFUNCTION("""COMPUTED_VALUE"""),"Переход на 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О"&amp;"НЛАЙН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пров"&amp;"ерка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ч"&amp;"ерез Интернет на 1 (один) год")</f>
        <v>Переход на 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7" s="4" t="str">
        <f ca="1">IFERROR(__xludf.DUMMYFUNCTION("""COMPUTED_VALUE"""),"Переход на 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</v>
      </c>
      <c r="F87" s="5">
        <f ca="1">IFERROR(__xludf.DUMMYFUNCTION("""COMPUTED_VALUE"""),9275)</f>
        <v>9275</v>
      </c>
    </row>
    <row r="88" spans="1:6" ht="44.25" customHeight="1" x14ac:dyDescent="0.2">
      <c r="A88" s="4" t="str">
        <f ca="1">IFERROR(__xludf.DUMMYFUNCTION("""COMPUTED_VALUE"""),"«1С: ERP Управление предприятием 2.5»")</f>
        <v>«1С: ERP Управление предприятием 2.5»</v>
      </c>
      <c r="B88" s="4" t="str">
        <f ca="1">IFERROR(__xludf.DUMMYFUNCTION("""COMPUTED_VALUE"""),"ШМОТКИ, МЕГАМАРКЕТ")</f>
        <v>ШМОТКИ, МЕГАМАРКЕТ</v>
      </c>
      <c r="C88" s="4" t="str">
        <f ca="1">IFERROR(__xludf.DUMMYFUNCTION("""COMPUTED_VALUE"""),"UP2-RTL15CK-1CERP25")</f>
        <v>UP2-RTL15CK-1CERP25</v>
      </c>
      <c r="D88" s="4" t="str">
        <f ca="1">IFERROR(__xludf.DUMMYFUNCTION("""COMPUTED_VALUE"""),"Переход на 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ОН"&amp;"ЛАЙН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прове"&amp;"рка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"&amp;"обновления и обмен через Интернет на 1 (один) год")</f>
        <v>Переход на 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8" s="4" t="str">
        <f ca="1">IFERROR(__xludf.DUMMYFUNCTION("""COMPUTED_VALUE"""),"Переход на 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</v>
      </c>
      <c r="F88" s="5">
        <f ca="1">IFERROR(__xludf.DUMMYFUNCTION("""COMPUTED_VALUE"""),13175)</f>
        <v>13175</v>
      </c>
    </row>
    <row r="89" spans="1:6" ht="44.25" customHeight="1" x14ac:dyDescent="0.2">
      <c r="A89" s="4" t="str">
        <f ca="1">IFERROR(__xludf.DUMMYFUNCTION("""COMPUTED_VALUE"""),"«1С: ERP Управление предприятием 2.5»")</f>
        <v>«1С: ERP Управление предприятием 2.5»</v>
      </c>
      <c r="B89" s="4" t="str">
        <f ca="1">IFERROR(__xludf.DUMMYFUNCTION("""COMPUTED_VALUE"""),"ПРОДУКТОВЫЙ, БАЗОВЫЙ")</f>
        <v>ПРОДУКТОВЫЙ, БАЗОВЫЙ</v>
      </c>
      <c r="C89" s="4" t="str">
        <f ca="1">IFERROR(__xludf.DUMMYFUNCTION("""COMPUTED_VALUE"""),"UP2-RTL15AG-1CERP25")</f>
        <v>UP2-RTL15AG-1CERP25</v>
      </c>
      <c r="D89" s="4" t="str">
        <f ca="1">IFERROR(__xludf.DUMMYFUNCTION("""COMPUTED_VALUE"""),"Переход на 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беспровод"&amp;"ной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"&amp;"подбор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оста"&amp;"тках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9" s="4" t="str">
        <f ca="1">IFERROR(__xludf.DUMMYFUNCTION("""COMPUTED_VALUE"""),"Переход на 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</v>
      </c>
      <c r="F89" s="5">
        <f ca="1">IFERROR(__xludf.DUMMYFUNCTION("""COMPUTED_VALUE"""),7275)</f>
        <v>7275</v>
      </c>
    </row>
    <row r="90" spans="1:6" ht="44.25" customHeight="1" x14ac:dyDescent="0.2">
      <c r="A90" s="4" t="str">
        <f ca="1">IFERROR(__xludf.DUMMYFUNCTION("""COMPUTED_VALUE"""),"«1С: ERP Управление предприятием 2.5»")</f>
        <v>«1С: ERP Управление предприятием 2.5»</v>
      </c>
      <c r="B90" s="4" t="str">
        <f ca="1">IFERROR(__xludf.DUMMYFUNCTION("""COMPUTED_VALUE"""),"ПРОДУКТОВЫЙ, РАСШИРЕННЫЙ")</f>
        <v>ПРОДУКТОВЫЙ, РАСШИРЕННЫЙ</v>
      </c>
      <c r="C90" s="4" t="str">
        <f ca="1">IFERROR(__xludf.DUMMYFUNCTION("""COMPUTED_VALUE"""),"UP2-RTL15BG-1CERP25")</f>
        <v>UP2-RTL15BG-1CERP25</v>
      </c>
      <c r="D90" s="4" t="str">
        <f ca="1">IFERROR(__xludf.DUMMYFUNCTION("""COMPUTED_VALUE"""),"Переход на 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беспр"&amp;"оводной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возвр"&amp;"ат,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0" s="4" t="str">
        <f ca="1">IFERROR(__xludf.DUMMYFUNCTION("""COMPUTED_VALUE"""),"Переход на 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</v>
      </c>
      <c r="F90" s="5">
        <f ca="1">IFERROR(__xludf.DUMMYFUNCTION("""COMPUTED_VALUE"""),10475)</f>
        <v>10475</v>
      </c>
    </row>
    <row r="91" spans="1:6" ht="44.25" customHeight="1" x14ac:dyDescent="0.2">
      <c r="A91" s="4" t="str">
        <f ca="1">IFERROR(__xludf.DUMMYFUNCTION("""COMPUTED_VALUE"""),"«1С: ERP Управление предприятием 2.5»")</f>
        <v>«1С: ERP Управление предприятием 2.5»</v>
      </c>
      <c r="B91" s="4" t="str">
        <f ca="1">IFERROR(__xludf.DUMMYFUNCTION("""COMPUTED_VALUE"""),"ПРОДУКТОВЫЙ, МЕГАМАРКЕТ")</f>
        <v>ПРОДУКТОВЫЙ, МЕГАМАРКЕТ</v>
      </c>
      <c r="C91" s="4" t="str">
        <f ca="1">IFERROR(__xludf.DUMMYFUNCTION("""COMPUTED_VALUE"""),"UP2-RTL15CG-1CERP25")</f>
        <v>UP2-RTL15CG-1CERP25</v>
      </c>
      <c r="D91" s="4" t="str">
        <f ca="1">IFERROR(__xludf.DUMMYFUNCTION("""COMPUTED_VALUE"""),"Переход на 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беспро"&amp;"водной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возвра"&amp;"т,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скл"&amp;"адах,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1" s="4" t="str">
        <f ca="1">IFERROR(__xludf.DUMMYFUNCTION("""COMPUTED_VALUE"""),"Переход на 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</v>
      </c>
      <c r="F91" s="5">
        <f ca="1">IFERROR(__xludf.DUMMYFUNCTION("""COMPUTED_VALUE"""),14125)</f>
        <v>14125</v>
      </c>
    </row>
    <row r="92" spans="1:6" ht="44.25" customHeight="1" x14ac:dyDescent="0.2">
      <c r="A92" s="4" t="str">
        <f ca="1">IFERROR(__xludf.DUMMYFUNCTION("""COMPUTED_VALUE"""),"«1С: Комплексная автоматизация 2.0»")</f>
        <v>«1С: Комплексная автоматизация 2.0»</v>
      </c>
      <c r="B92" s="4" t="str">
        <f ca="1">IFERROR(__xludf.DUMMYFUNCTION("""COMPUTED_VALUE"""),"МИНИМУМ")</f>
        <v>МИНИМУМ</v>
      </c>
      <c r="C92" s="4" t="str">
        <f ca="1">IFERROR(__xludf.DUMMYFUNCTION("""COMPUTED_VALUE"""),"UP2-RTL15M-1CKA20")</f>
        <v>UP2-RTL15M-1CKA20</v>
      </c>
      <c r="D92" s="4" t="str">
        <f ca="1">IFERROR(__xludf.DUMMYFUNCTION("""COMPUTED_VALUE"""),"Переход на Mobile SMARTS: Магазин 15, МИНИМУМ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прос"&amp;"мотр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Переход на Mobile SMARTS: Магазин 15, МИНИМУМ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2" s="4" t="str">
        <f ca="1">IFERROR(__xludf.DUMMYFUNCTION("""COMPUTED_VALUE"""),"Переход на Mobile SMARTS: Магазин 15, МИНИМУМ для «1С: Комплексная автоматизация 2.0», для работы с товаром по штрихкодам ")</f>
        <v xml:space="preserve">Переход на Mobile SMARTS: Магазин 15, МИНИМУМ для «1С: Комплексная автоматизация 2.0», для работы с товаром по штрихкодам </v>
      </c>
      <c r="F92" s="5">
        <f ca="1">IFERROR(__xludf.DUMMYFUNCTION("""COMPUTED_VALUE"""),1725)</f>
        <v>1725</v>
      </c>
    </row>
    <row r="93" spans="1:6" ht="44.25" customHeight="1" x14ac:dyDescent="0.2">
      <c r="A93" s="4" t="str">
        <f ca="1">IFERROR(__xludf.DUMMYFUNCTION("""COMPUTED_VALUE"""),"«1С: Комплексная автоматизация 2.0»")</f>
        <v>«1С: Комплексная автоматизация 2.0»</v>
      </c>
      <c r="B93" s="4" t="str">
        <f ca="1">IFERROR(__xludf.DUMMYFUNCTION("""COMPUTED_VALUE"""),"БАЗОВЫЙ")</f>
        <v>БАЗОВЫЙ</v>
      </c>
      <c r="C93" s="4" t="str">
        <f ca="1">IFERROR(__xludf.DUMMYFUNCTION("""COMPUTED_VALUE"""),"UP2-RTL15A-1CKA20")</f>
        <v>UP2-RTL15A-1CKA20</v>
      </c>
      <c r="D93" s="4" t="str">
        <f ca="1">IFERROR(__xludf.DUMMYFUNCTION("""COMPUTED_VALUE"""),"Переход на Mobile SMARTS: Магазин 15, БАЗОВЫЙ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3" s="4" t="str">
        <f ca="1">IFERROR(__xludf.DUMMYFUNCTION("""COMPUTED_VALUE"""),"Переход на Mobile SMARTS: Магазин 15, БАЗОВЫЙ для «1С: Комплексная автоматизация 2.0», для работы с товаром по штрихкодам ")</f>
        <v xml:space="preserve">Переход на Mobile SMARTS: Магазин 15, БАЗОВЫЙ для «1С: Комплексная автоматизация 2.0», для работы с товаром по штрихкодам </v>
      </c>
      <c r="F93" s="5">
        <f ca="1">IFERROR(__xludf.DUMMYFUNCTION("""COMPUTED_VALUE"""),4325)</f>
        <v>4325</v>
      </c>
    </row>
    <row r="94" spans="1:6" ht="44.25" customHeight="1" x14ac:dyDescent="0.2">
      <c r="A94" s="4" t="str">
        <f ca="1">IFERROR(__xludf.DUMMYFUNCTION("""COMPUTED_VALUE"""),"«1С: Комплексная автоматизация 2.0»")</f>
        <v>«1С: Комплексная автоматизация 2.0»</v>
      </c>
      <c r="B94" s="4" t="str">
        <f ca="1">IFERROR(__xludf.DUMMYFUNCTION("""COMPUTED_VALUE"""),"РАСШИРЕННЫЙ")</f>
        <v>РАСШИРЕННЫЙ</v>
      </c>
      <c r="C94" s="4" t="str">
        <f ca="1">IFERROR(__xludf.DUMMYFUNCTION("""COMPUTED_VALUE"""),"UP2-RTL15B-1CKA20")</f>
        <v>UP2-RTL15B-1CKA20</v>
      </c>
      <c r="D94" s="4" t="str">
        <f ca="1">IFERROR(__xludf.DUMMYFUNCTION("""COMPUTED_VALUE"""),"Переход на Mobile SMARTS: Магазин 15, РАСШИРЕННЫЙ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4" s="4" t="str">
        <f ca="1">IFERROR(__xludf.DUMMYFUNCTION("""COMPUTED_VALUE"""),"Переход на Mobile SMARTS: Магазин 15, РАСШИРЕННЫЙ для «1С: Комплексная автоматизация 2.0», для работы с товаром по штрихкодам ")</f>
        <v xml:space="preserve">Переход на Mobile SMARTS: Магазин 15, РАСШИРЕННЫЙ для «1С: Комплексная автоматизация 2.0», для работы с товаром по штрихкодам </v>
      </c>
      <c r="F94" s="5">
        <f ca="1">IFERROR(__xludf.DUMMYFUNCTION("""COMPUTED_VALUE"""),7525)</f>
        <v>7525</v>
      </c>
    </row>
    <row r="95" spans="1:6" ht="44.25" customHeight="1" x14ac:dyDescent="0.2">
      <c r="A95" s="4" t="str">
        <f ca="1">IFERROR(__xludf.DUMMYFUNCTION("""COMPUTED_VALUE"""),"«1С: Комплексная автоматизация 2.0»")</f>
        <v>«1С: Комплексная автоматизация 2.0»</v>
      </c>
      <c r="B95" s="4" t="str">
        <f ca="1">IFERROR(__xludf.DUMMYFUNCTION("""COMPUTED_VALUE"""),"МЕГАМАРКЕТ")</f>
        <v>МЕГАМАРКЕТ</v>
      </c>
      <c r="C95" s="4" t="str">
        <f ca="1">IFERROR(__xludf.DUMMYFUNCTION("""COMPUTED_VALUE"""),"UP2-RTL15C-1CKA20")</f>
        <v>UP2-RTL15C-1CKA20</v>
      </c>
      <c r="D95" s="4" t="str">
        <f ca="1">IFERROR(__xludf.DUMMYFUNCTION("""COMPUTED_VALUE"""),"Переход на Mobile SMARTS: Магазин 15, МЕГАМАРКЕТ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5" s="4" t="str">
        <f ca="1">IFERROR(__xludf.DUMMYFUNCTION("""COMPUTED_VALUE"""),"Переход на Mobile SMARTS: Магазин 15, МЕГАМАРКЕТ для «1С: Комплексная автоматизация 2.0», для работы с товаром по штрихкодам ")</f>
        <v xml:space="preserve">Переход на Mobile SMARTS: Магазин 15, МЕГАМАРКЕТ для «1С: Комплексная автоматизация 2.0», для работы с товаром по штрихкодам </v>
      </c>
      <c r="F95" s="5">
        <f ca="1">IFERROR(__xludf.DUMMYFUNCTION("""COMPUTED_VALUE"""),10775)</f>
        <v>10775</v>
      </c>
    </row>
    <row r="96" spans="1:6" ht="44.25" customHeight="1" x14ac:dyDescent="0.2">
      <c r="A96" s="4" t="str">
        <f ca="1">IFERROR(__xludf.DUMMYFUNCTION("""COMPUTED_VALUE"""),"«1С: Комплексная автоматизация 2.0»")</f>
        <v>«1С: Комплексная автоматизация 2.0»</v>
      </c>
      <c r="B96" s="4" t="str">
        <f ca="1">IFERROR(__xludf.DUMMYFUNCTION("""COMPUTED_VALUE"""),"с ЕГАИС, БАЗОВЫЙ")</f>
        <v>с ЕГАИС, БАЗОВЫЙ</v>
      </c>
      <c r="C96" s="4" t="str">
        <f ca="1">IFERROR(__xludf.DUMMYFUNCTION("""COMPUTED_VALUE"""),"UP2-RTL15AE-1CKA20")</f>
        <v>UP2-RTL15AE-1CKA20</v>
      </c>
      <c r="D96" s="4" t="str">
        <f ca="1">IFERROR(__xludf.DUMMYFUNCTION("""COMPUTED_VALUE"""),"Переход на Mobile SMARTS: Магазин 15 с ЕГАИС, БАЗОВЫЙ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6" s="4" t="str">
        <f ca="1">IFERROR(__xludf.DUMMYFUNCTION("""COMPUTED_VALUE"""),"Переход на Mobile SMARTS: Магазин 15 с ЕГАИС, БАЗОВЫЙ для «1С: Комплексная автоматизация 2.0», для работы с маркированным товаром: алкоголь ЕГАИС и товары по штрихкодам ")</f>
        <v xml:space="preserve">Переход на Mobile SMARTS: Магазин 15 с ЕГАИС, БАЗОВЫЙ для «1С: Комплексная автоматизация 2.0», для работы с маркированным товаром: алкоголь ЕГАИС и товары по штрихкодам </v>
      </c>
      <c r="F96" s="5">
        <f ca="1">IFERROR(__xludf.DUMMYFUNCTION("""COMPUTED_VALUE"""),5500)</f>
        <v>5500</v>
      </c>
    </row>
    <row r="97" spans="1:6" ht="44.25" customHeight="1" x14ac:dyDescent="0.2">
      <c r="A97" s="4" t="str">
        <f ca="1">IFERROR(__xludf.DUMMYFUNCTION("""COMPUTED_VALUE"""),"«1С: Комплексная автоматизация 2.0»")</f>
        <v>«1С: Комплексная автоматизация 2.0»</v>
      </c>
      <c r="B97" s="4" t="str">
        <f ca="1">IFERROR(__xludf.DUMMYFUNCTION("""COMPUTED_VALUE"""),"с ЕГАИС, РАСШИРЕННЫЙ")</f>
        <v>с ЕГАИС, РАСШИРЕННЫЙ</v>
      </c>
      <c r="C97" s="4" t="str">
        <f ca="1">IFERROR(__xludf.DUMMYFUNCTION("""COMPUTED_VALUE"""),"UP2-RTL15BE-1CKA20")</f>
        <v>UP2-RTL15BE-1CKA20</v>
      </c>
      <c r="D97" s="4" t="str">
        <f ca="1">IFERROR(__xludf.DUMMYFUNCTION("""COMPUTED_VALUE"""),"Переход на Mobile SMARTS: Магазин 15 с ЕГАИС, РАСШИРЕННЫЙ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"&amp;"принтер,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 с ЕГАИС, РАСШИРЕННЫЙ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7" s="4" t="str">
        <f ca="1">IFERROR(__xludf.DUMMYFUNCTION("""COMPUTED_VALUE"""),"Переход на Mobile SMARTS: Магазин 15 с ЕГАИС, РАСШИРЕННЫЙ для «1С: Комплексная автоматизация 2.0»,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Комплексная автоматизация 2.0», для работы с маркированным товаром: алкоголь ЕГАИС и товары по штрихкодам </v>
      </c>
      <c r="F97" s="5">
        <f ca="1">IFERROR(__xludf.DUMMYFUNCTION("""COMPUTED_VALUE"""),8725)</f>
        <v>8725</v>
      </c>
    </row>
    <row r="98" spans="1:6" ht="44.25" customHeight="1" x14ac:dyDescent="0.2">
      <c r="A98" s="4" t="str">
        <f ca="1">IFERROR(__xludf.DUMMYFUNCTION("""COMPUTED_VALUE"""),"«1С: Комплексная автоматизация 2.0»")</f>
        <v>«1С: Комплексная автоматизация 2.0»</v>
      </c>
      <c r="B98" s="4" t="str">
        <f ca="1">IFERROR(__xludf.DUMMYFUNCTION("""COMPUTED_VALUE"""),"с ЕГАИС (без CheckMark2), МЕГАМАРКЕТ")</f>
        <v>с ЕГАИС (без CheckMark2), МЕГАМАРКЕТ</v>
      </c>
      <c r="C98" s="4" t="str">
        <f ca="1">IFERROR(__xludf.DUMMYFUNCTION("""COMPUTED_VALUE"""),"UP2-RTL15CEV-1CKA20")</f>
        <v>UP2-RTL15CEV-1CKA20</v>
      </c>
      <c r="D98" s="4" t="str">
        <f ca="1">IFERROR(__xludf.DUMMYFUNCTION("""COMPUTED_VALUE"""),"Переход на 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есть"&amp;"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колл"&amp;"ективная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Переход на 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8" s="4" t="str">
        <f ca="1">IFERROR(__xludf.DUMMYFUNCTION("""COMPUTED_VALUE"""),"Переход на 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</v>
      </c>
      <c r="F98" s="5">
        <f ca="1">IFERROR(__xludf.DUMMYFUNCTION("""COMPUTED_VALUE"""),11925)</f>
        <v>11925</v>
      </c>
    </row>
    <row r="99" spans="1:6" ht="44.25" customHeight="1" x14ac:dyDescent="0.2">
      <c r="A99" s="4" t="str">
        <f ca="1">IFERROR(__xludf.DUMMYFUNCTION("""COMPUTED_VALUE"""),"«1С: Комплексная автоматизация 2.2»")</f>
        <v>«1С: Комплексная автоматизация 2.2»</v>
      </c>
      <c r="B99" s="4" t="str">
        <f ca="1">IFERROR(__xludf.DUMMYFUNCTION("""COMPUTED_VALUE"""),"МИНИМУМ")</f>
        <v>МИНИМУМ</v>
      </c>
      <c r="C99" s="4" t="str">
        <f ca="1">IFERROR(__xludf.DUMMYFUNCTION("""COMPUTED_VALUE"""),"UP2-RTL15M-1CKA22")</f>
        <v>UP2-RTL15M-1CKA22</v>
      </c>
      <c r="D99" s="4" t="str">
        <f ca="1">IFERROR(__xludf.DUMMYFUNCTION("""COMPUTED_VALUE"""),"Переход на Mobile SMARTS: Магазин 15, МИНИМУМ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прос"&amp;"мотр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Переход на Mobile SMARTS: Магазин 15, МИНИМУМ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9" s="4" t="str">
        <f ca="1">IFERROR(__xludf.DUMMYFUNCTION("""COMPUTED_VALUE"""),"Переход на Mobile SMARTS: Магазин 15, МИНИМУМ для «1С: Комплексная автоматизация 2.2», для работы с товаром по штрихкодам ")</f>
        <v xml:space="preserve">Переход на Mobile SMARTS: Магазин 15, МИНИМУМ для «1С: Комплексная автоматизация 2.2», для работы с товаром по штрихкодам </v>
      </c>
      <c r="F99" s="5">
        <f ca="1">IFERROR(__xludf.DUMMYFUNCTION("""COMPUTED_VALUE"""),1725)</f>
        <v>1725</v>
      </c>
    </row>
    <row r="100" spans="1:6" ht="44.25" customHeight="1" x14ac:dyDescent="0.2">
      <c r="A100" s="4" t="str">
        <f ca="1">IFERROR(__xludf.DUMMYFUNCTION("""COMPUTED_VALUE"""),"«1С: Комплексная автоматизация 2.2»")</f>
        <v>«1С: Комплексная автоматизация 2.2»</v>
      </c>
      <c r="B100" s="4" t="str">
        <f ca="1">IFERROR(__xludf.DUMMYFUNCTION("""COMPUTED_VALUE"""),"БАЗОВЫЙ")</f>
        <v>БАЗОВЫЙ</v>
      </c>
      <c r="C100" s="4" t="str">
        <f ca="1">IFERROR(__xludf.DUMMYFUNCTION("""COMPUTED_VALUE"""),"UP2-RTL15A-1CKA22")</f>
        <v>UP2-RTL15A-1CKA22</v>
      </c>
      <c r="D100" s="4" t="str">
        <f ca="1">IFERROR(__xludf.DUMMYFUNCTION("""COMPUTED_VALUE"""),"Переход на Mobile SMARTS: Магазин 15, БАЗОВЫЙ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0" s="4" t="str">
        <f ca="1">IFERROR(__xludf.DUMMYFUNCTION("""COMPUTED_VALUE"""),"Переход на Mobile SMARTS: Магазин 15, БАЗОВЫЙ для «1С: Комплексная автоматизация 2.2», для работы с товаром по штрихкодам ")</f>
        <v xml:space="preserve">Переход на Mobile SMARTS: Магазин 15, БАЗОВЫЙ для «1С: Комплексная автоматизация 2.2», для работы с товаром по штрихкодам </v>
      </c>
      <c r="F100" s="5">
        <f ca="1">IFERROR(__xludf.DUMMYFUNCTION("""COMPUTED_VALUE"""),4325)</f>
        <v>4325</v>
      </c>
    </row>
    <row r="101" spans="1:6" ht="44.25" customHeight="1" x14ac:dyDescent="0.2">
      <c r="A101" s="4" t="str">
        <f ca="1">IFERROR(__xludf.DUMMYFUNCTION("""COMPUTED_VALUE"""),"«1С: Комплексная автоматизация 2.2»")</f>
        <v>«1С: Комплексная автоматизация 2.2»</v>
      </c>
      <c r="B101" s="4" t="str">
        <f ca="1">IFERROR(__xludf.DUMMYFUNCTION("""COMPUTED_VALUE"""),"РАСШИРЕННЫЙ")</f>
        <v>РАСШИРЕННЫЙ</v>
      </c>
      <c r="C101" s="4" t="str">
        <f ca="1">IFERROR(__xludf.DUMMYFUNCTION("""COMPUTED_VALUE"""),"UP2-RTL15B-1CKA22")</f>
        <v>UP2-RTL15B-1CKA22</v>
      </c>
      <c r="D101" s="4" t="str">
        <f ca="1">IFERROR(__xludf.DUMMYFUNCTION("""COMPUTED_VALUE"""),"Переход на Mobile SMARTS: Магазин 15, РАСШИРЕННЫЙ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1" s="4" t="str">
        <f ca="1">IFERROR(__xludf.DUMMYFUNCTION("""COMPUTED_VALUE"""),"Переход на Mobile SMARTS: Магазин 15, РАСШИРЕННЫЙ для «1С: Комплексная автоматизация 2.2», для работы с товаром по штрихкодам ")</f>
        <v xml:space="preserve">Переход на Mobile SMARTS: Магазин 15, РАСШИРЕННЫЙ для «1С: Комплексная автоматизация 2.2», для работы с товаром по штрихкодам </v>
      </c>
      <c r="F101" s="5">
        <f ca="1">IFERROR(__xludf.DUMMYFUNCTION("""COMPUTED_VALUE"""),7525)</f>
        <v>7525</v>
      </c>
    </row>
    <row r="102" spans="1:6" ht="44.25" customHeight="1" x14ac:dyDescent="0.2">
      <c r="A102" s="4" t="str">
        <f ca="1">IFERROR(__xludf.DUMMYFUNCTION("""COMPUTED_VALUE"""),"«1С: Комплексная автоматизация 2.2»")</f>
        <v>«1С: Комплексная автоматизация 2.2»</v>
      </c>
      <c r="B102" s="4" t="str">
        <f ca="1">IFERROR(__xludf.DUMMYFUNCTION("""COMPUTED_VALUE"""),"МЕГАМАРКЕТ")</f>
        <v>МЕГАМАРКЕТ</v>
      </c>
      <c r="C102" s="4" t="str">
        <f ca="1">IFERROR(__xludf.DUMMYFUNCTION("""COMPUTED_VALUE"""),"UP2-RTL15C-1CKA22")</f>
        <v>UP2-RTL15C-1CKA22</v>
      </c>
      <c r="D102" s="4" t="str">
        <f ca="1">IFERROR(__xludf.DUMMYFUNCTION("""COMPUTED_VALUE"""),"Переход на Mobile SMARTS: Магазин 15, МЕГАМАРКЕТ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2" s="4" t="str">
        <f ca="1">IFERROR(__xludf.DUMMYFUNCTION("""COMPUTED_VALUE"""),"Переход на Mobile SMARTS: Магазин 15, МЕГАМАРКЕТ для «1С: Комплексная автоматизация 2.2», для работы с товаром по штрихкодам ")</f>
        <v xml:space="preserve">Переход на Mobile SMARTS: Магазин 15, МЕГАМАРКЕТ для «1С: Комплексная автоматизация 2.2», для работы с товаром по штрихкодам </v>
      </c>
      <c r="F102" s="5">
        <f ca="1">IFERROR(__xludf.DUMMYFUNCTION("""COMPUTED_VALUE"""),10775)</f>
        <v>10775</v>
      </c>
    </row>
    <row r="103" spans="1:6" ht="44.25" customHeight="1" x14ac:dyDescent="0.2">
      <c r="A103" s="4" t="str">
        <f ca="1">IFERROR(__xludf.DUMMYFUNCTION("""COMPUTED_VALUE"""),"«1С: Комплексная автоматизация 2.2»")</f>
        <v>«1С: Комплексная автоматизация 2.2»</v>
      </c>
      <c r="B103" s="4" t="str">
        <f ca="1">IFERROR(__xludf.DUMMYFUNCTION("""COMPUTED_VALUE"""),"с ЕГАИС, БАЗОВЫЙ")</f>
        <v>с ЕГАИС, БАЗОВЫЙ</v>
      </c>
      <c r="C103" s="4" t="str">
        <f ca="1">IFERROR(__xludf.DUMMYFUNCTION("""COMPUTED_VALUE"""),"UP2-RTL15AE-1CKA22")</f>
        <v>UP2-RTL15AE-1CKA22</v>
      </c>
      <c r="D103" s="4" t="str">
        <f ca="1">IFERROR(__xludf.DUMMYFUNCTION("""COMPUTED_VALUE"""),"Переход на Mobile SMARTS: Магазин 15 с ЕГАИС, БАЗОВЫЙ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03" s="4" t="str">
        <f ca="1">IFERROR(__xludf.DUMMYFUNCTION("""COMPUTED_VALUE"""),"Переход на Mobile SMARTS: Магазин 15 с ЕГАИС, БАЗОВЫЙ для «1С: Комплексная автоматизация 2.2», для работы с маркированным товаром: алкоголь ЕГАИС и товары по штрихкодам ")</f>
        <v xml:space="preserve">Переход на Mobile SMARTS: Магазин 15 с ЕГАИС, БАЗОВЫЙ для «1С: Комплексная автоматизация 2.2», для работы с маркированным товаром: алкоголь ЕГАИС и товары по штрихкодам </v>
      </c>
      <c r="F103" s="5">
        <f ca="1">IFERROR(__xludf.DUMMYFUNCTION("""COMPUTED_VALUE"""),5500)</f>
        <v>5500</v>
      </c>
    </row>
    <row r="104" spans="1:6" ht="44.25" customHeight="1" x14ac:dyDescent="0.2">
      <c r="A104" s="4" t="str">
        <f ca="1">IFERROR(__xludf.DUMMYFUNCTION("""COMPUTED_VALUE"""),"«1С: Комплексная автоматизация 2.2»")</f>
        <v>«1С: Комплексная автоматизация 2.2»</v>
      </c>
      <c r="B104" s="4" t="str">
        <f ca="1">IFERROR(__xludf.DUMMYFUNCTION("""COMPUTED_VALUE"""),"с ЕГАИС, РАСШИРЕННЫЙ")</f>
        <v>с ЕГАИС, РАСШИРЕННЫЙ</v>
      </c>
      <c r="C104" s="4" t="str">
        <f ca="1">IFERROR(__xludf.DUMMYFUNCTION("""COMPUTED_VALUE"""),"UP2-RTL15BE-1CKA22")</f>
        <v>UP2-RTL15BE-1CKA22</v>
      </c>
      <c r="D104" s="4" t="str">
        <f ca="1">IFERROR(__xludf.DUMMYFUNCTION("""COMPUTED_VALUE"""),"Переход на Mobile SMARTS: Магазин 15 с ЕГАИС, РАСШИРЕННЫЙ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"&amp;"принтер,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 с ЕГАИС, РАСШИРЕННЫЙ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4" s="4" t="str">
        <f ca="1">IFERROR(__xludf.DUMMYFUNCTION("""COMPUTED_VALUE"""),"Переход на Mobile SMARTS: Магазин 15 с ЕГАИС, РАСШИРЕННЫЙ для «1С: Комплексная автоматизация 2.2»,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Комплексная автоматизация 2.2», для работы с маркированным товаром: алкоголь ЕГАИС и товары по штрихкодам </v>
      </c>
      <c r="F104" s="5">
        <f ca="1">IFERROR(__xludf.DUMMYFUNCTION("""COMPUTED_VALUE"""),8725)</f>
        <v>8725</v>
      </c>
    </row>
    <row r="105" spans="1:6" ht="44.25" customHeight="1" x14ac:dyDescent="0.2">
      <c r="A105" s="4" t="str">
        <f ca="1">IFERROR(__xludf.DUMMYFUNCTION("""COMPUTED_VALUE"""),"«1С: Комплексная автоматизация 2.2»")</f>
        <v>«1С: Комплексная автоматизация 2.2»</v>
      </c>
      <c r="B105" s="4" t="str">
        <f ca="1">IFERROR(__xludf.DUMMYFUNCTION("""COMPUTED_VALUE"""),"с ЕГАИС (без CheckMark2), МЕГАМАРКЕТ")</f>
        <v>с ЕГАИС (без CheckMark2), МЕГАМАРКЕТ</v>
      </c>
      <c r="C105" s="4" t="str">
        <f ca="1">IFERROR(__xludf.DUMMYFUNCTION("""COMPUTED_VALUE"""),"UP2-RTL15CEV-1CKA22")</f>
        <v>UP2-RTL15CEV-1CKA22</v>
      </c>
      <c r="D105" s="4" t="str">
        <f ca="1">IFERROR(__xludf.DUMMYFUNCTION("""COMPUTED_VALUE"""),"Переход на 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есть"&amp;"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колл"&amp;"ективная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Переход на 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5" s="4" t="str">
        <f ca="1">IFERROR(__xludf.DUMMYFUNCTION("""COMPUTED_VALUE"""),"Переход на 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</v>
      </c>
      <c r="F105" s="5">
        <f ca="1">IFERROR(__xludf.DUMMYFUNCTION("""COMPUTED_VALUE"""),11925)</f>
        <v>11925</v>
      </c>
    </row>
    <row r="106" spans="1:6" ht="44.25" customHeight="1" x14ac:dyDescent="0.2">
      <c r="A106" s="4" t="str">
        <f ca="1">IFERROR(__xludf.DUMMYFUNCTION("""COMPUTED_VALUE"""),"«1С: Комплексная автоматизация 2.4»")</f>
        <v>«1С: Комплексная автоматизация 2.4»</v>
      </c>
      <c r="B106" s="4" t="str">
        <f ca="1">IFERROR(__xludf.DUMMYFUNCTION("""COMPUTED_VALUE"""),"МИНИМУМ")</f>
        <v>МИНИМУМ</v>
      </c>
      <c r="C106" s="4" t="str">
        <f ca="1">IFERROR(__xludf.DUMMYFUNCTION("""COMPUTED_VALUE"""),"UP2-RTL15M-1CKA24")</f>
        <v>UP2-RTL15M-1CKA24</v>
      </c>
      <c r="D106" s="4" t="str">
        <f ca="1">IFERROR(__xludf.DUMMYFUNCTION("""COMPUTED_VALUE"""),"Переход на Mobile SMARTS: Магазин 15, МИНИМУМ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прос"&amp;"мотр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Переход на Mobile SMARTS: Магазин 15, МИНИМУМ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06" s="4" t="str">
        <f ca="1">IFERROR(__xludf.DUMMYFUNCTION("""COMPUTED_VALUE"""),"Переход на Mobile SMARTS: Магазин 15, МИНИМУМ для «1С: Комплексная автоматизация 2.4», для работы с товаром по штрихкодам ")</f>
        <v xml:space="preserve">Переход на Mobile SMARTS: Магазин 15, МИНИМУМ для «1С: Комплексная автоматизация 2.4», для работы с товаром по штрихкодам </v>
      </c>
      <c r="F106" s="5">
        <f ca="1">IFERROR(__xludf.DUMMYFUNCTION("""COMPUTED_VALUE"""),1725)</f>
        <v>1725</v>
      </c>
    </row>
    <row r="107" spans="1:6" ht="44.25" customHeight="1" x14ac:dyDescent="0.2">
      <c r="A107" s="4" t="str">
        <f ca="1">IFERROR(__xludf.DUMMYFUNCTION("""COMPUTED_VALUE"""),"«1С: Комплексная автоматизация 2.4»")</f>
        <v>«1С: Комплексная автоматизация 2.4»</v>
      </c>
      <c r="B107" s="4" t="str">
        <f ca="1">IFERROR(__xludf.DUMMYFUNCTION("""COMPUTED_VALUE"""),"БАЗОВЫЙ")</f>
        <v>БАЗОВЫЙ</v>
      </c>
      <c r="C107" s="4" t="str">
        <f ca="1">IFERROR(__xludf.DUMMYFUNCTION("""COMPUTED_VALUE"""),"UP2-RTL15A-1CKA24")</f>
        <v>UP2-RTL15A-1CKA24</v>
      </c>
      <c r="D107" s="4" t="str">
        <f ca="1">IFERROR(__xludf.DUMMYFUNCTION("""COMPUTED_VALUE"""),"Переход на Mobile SMARTS: Магазин 15, БАЗОВЫЙ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7" s="4" t="str">
        <f ca="1">IFERROR(__xludf.DUMMYFUNCTION("""COMPUTED_VALUE"""),"Переход на Mobile SMARTS: Магазин 15, БАЗОВЫЙ для «1С: Комплексная автоматизация 2.4», для работы с товаром по штрихкодам ")</f>
        <v xml:space="preserve">Переход на Mobile SMARTS: Магазин 15, БАЗОВЫЙ для «1С: Комплексная автоматизация 2.4», для работы с товаром по штрихкодам </v>
      </c>
      <c r="F107" s="5">
        <f ca="1">IFERROR(__xludf.DUMMYFUNCTION("""COMPUTED_VALUE"""),4325)</f>
        <v>4325</v>
      </c>
    </row>
    <row r="108" spans="1:6" ht="44.25" customHeight="1" x14ac:dyDescent="0.2">
      <c r="A108" s="4" t="str">
        <f ca="1">IFERROR(__xludf.DUMMYFUNCTION("""COMPUTED_VALUE"""),"«1С: Комплексная автоматизация 2.4»")</f>
        <v>«1С: Комплексная автоматизация 2.4»</v>
      </c>
      <c r="B108" s="4" t="str">
        <f ca="1">IFERROR(__xludf.DUMMYFUNCTION("""COMPUTED_VALUE"""),"РАСШИРЕННЫЙ")</f>
        <v>РАСШИРЕННЫЙ</v>
      </c>
      <c r="C108" s="4" t="str">
        <f ca="1">IFERROR(__xludf.DUMMYFUNCTION("""COMPUTED_VALUE"""),"UP2-RTL15B-1CKA24")</f>
        <v>UP2-RTL15B-1CKA24</v>
      </c>
      <c r="D108" s="4" t="str">
        <f ca="1">IFERROR(__xludf.DUMMYFUNCTION("""COMPUTED_VALUE"""),"Переход на Mobile SMARTS: Магазин 15, РАСШИРЕННЫЙ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8" s="4" t="str">
        <f ca="1">IFERROR(__xludf.DUMMYFUNCTION("""COMPUTED_VALUE"""),"Переход на Mobile SMARTS: Магазин 15, РАСШИРЕННЫЙ для «1С: Комплексная автоматизация 2.4», для работы с товаром по штрихкодам ")</f>
        <v xml:space="preserve">Переход на Mobile SMARTS: Магазин 15, РАСШИРЕННЫЙ для «1С: Комплексная автоматизация 2.4», для работы с товаром по штрихкодам </v>
      </c>
      <c r="F108" s="5">
        <f ca="1">IFERROR(__xludf.DUMMYFUNCTION("""COMPUTED_VALUE"""),7525)</f>
        <v>7525</v>
      </c>
    </row>
    <row r="109" spans="1:6" ht="44.25" customHeight="1" x14ac:dyDescent="0.2">
      <c r="A109" s="4" t="str">
        <f ca="1">IFERROR(__xludf.DUMMYFUNCTION("""COMPUTED_VALUE"""),"«1С: Комплексная автоматизация 2.4»")</f>
        <v>«1С: Комплексная автоматизация 2.4»</v>
      </c>
      <c r="B109" s="4" t="str">
        <f ca="1">IFERROR(__xludf.DUMMYFUNCTION("""COMPUTED_VALUE"""),"МЕГАМАРКЕТ")</f>
        <v>МЕГАМАРКЕТ</v>
      </c>
      <c r="C109" s="4" t="str">
        <f ca="1">IFERROR(__xludf.DUMMYFUNCTION("""COMPUTED_VALUE"""),"UP2-RTL15C-1CKA24")</f>
        <v>UP2-RTL15C-1CKA24</v>
      </c>
      <c r="D109" s="4" t="str">
        <f ca="1">IFERROR(__xludf.DUMMYFUNCTION("""COMPUTED_VALUE"""),"Переход на Mobile SMARTS: Магазин 15, МЕГАМАРКЕТ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9" s="4" t="str">
        <f ca="1">IFERROR(__xludf.DUMMYFUNCTION("""COMPUTED_VALUE"""),"Переход на Mobile SMARTS: Магазин 15, МЕГАМАРКЕТ для «1С: Комплексная автоматизация 2.4», для работы с товаром по штрихкодам ")</f>
        <v xml:space="preserve">Переход на Mobile SMARTS: Магазин 15, МЕГАМАРКЕТ для «1С: Комплексная автоматизация 2.4», для работы с товаром по штрихкодам </v>
      </c>
      <c r="F109" s="5">
        <f ca="1">IFERROR(__xludf.DUMMYFUNCTION("""COMPUTED_VALUE"""),10775)</f>
        <v>10775</v>
      </c>
    </row>
    <row r="110" spans="1:6" ht="44.25" customHeight="1" x14ac:dyDescent="0.2">
      <c r="A110" s="4" t="str">
        <f ca="1">IFERROR(__xludf.DUMMYFUNCTION("""COMPUTED_VALUE"""),"«1С: Комплексная автоматизация 2.4»")</f>
        <v>«1С: Комплексная автоматизация 2.4»</v>
      </c>
      <c r="B110" s="4" t="str">
        <f ca="1">IFERROR(__xludf.DUMMYFUNCTION("""COMPUTED_VALUE"""),"с ЕГАИС, БАЗОВЫЙ")</f>
        <v>с ЕГАИС, БАЗОВЫЙ</v>
      </c>
      <c r="C110" s="4" t="str">
        <f ca="1">IFERROR(__xludf.DUMMYFUNCTION("""COMPUTED_VALUE"""),"UP2-RTL15AE-1CKA24")</f>
        <v>UP2-RTL15AE-1CKA24</v>
      </c>
      <c r="D110" s="4" t="str">
        <f ca="1">IFERROR(__xludf.DUMMYFUNCTION("""COMPUTED_VALUE"""),"Переход на Mobile SMARTS: Магазин 15 с ЕГАИС, БАЗОВЫЙ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10" s="4" t="str">
        <f ca="1">IFERROR(__xludf.DUMMYFUNCTION("""COMPUTED_VALUE"""),"Переход на Mobile SMARTS: Магазин 15 с ЕГАИС, БАЗОВЫЙ для «1С: Комплексная автоматизация 2.4», для работы с маркированным товаром: алкоголь ЕГАИС и товары по штрихкодам ")</f>
        <v xml:space="preserve">Переход на Mobile SMARTS: Магазин 15 с ЕГАИС, БАЗОВЫЙ для «1С: Комплексная автоматизация 2.4», для работы с маркированным товаром: алкоголь ЕГАИС и товары по штрихкодам </v>
      </c>
      <c r="F110" s="5">
        <f ca="1">IFERROR(__xludf.DUMMYFUNCTION("""COMPUTED_VALUE"""),5500)</f>
        <v>5500</v>
      </c>
    </row>
    <row r="111" spans="1:6" ht="44.25" customHeight="1" x14ac:dyDescent="0.2">
      <c r="A111" s="4" t="str">
        <f ca="1">IFERROR(__xludf.DUMMYFUNCTION("""COMPUTED_VALUE"""),"«1С: Комплексная автоматизация 2.4»")</f>
        <v>«1С: Комплексная автоматизация 2.4»</v>
      </c>
      <c r="B111" s="4" t="str">
        <f ca="1">IFERROR(__xludf.DUMMYFUNCTION("""COMPUTED_VALUE"""),"с ЕГАИС, РАСШИРЕННЫЙ")</f>
        <v>с ЕГАИС, РАСШИРЕННЫЙ</v>
      </c>
      <c r="C111" s="4" t="str">
        <f ca="1">IFERROR(__xludf.DUMMYFUNCTION("""COMPUTED_VALUE"""),"UP2-RTL15BE-1CKA24")</f>
        <v>UP2-RTL15BE-1CKA24</v>
      </c>
      <c r="D111" s="4" t="str">
        <f ca="1">IFERROR(__xludf.DUMMYFUNCTION("""COMPUTED_VALUE"""),"Переход на Mobile SMARTS: Магазин 15 с ЕГАИС, РАСШИРЕННЫЙ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"&amp;"принтер,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 с ЕГАИС, РАСШИРЕННЫЙ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1" s="4" t="str">
        <f ca="1">IFERROR(__xludf.DUMMYFUNCTION("""COMPUTED_VALUE"""),"Переход на Mobile SMARTS: Магазин 15 с ЕГАИС, РАСШИРЕННЫЙ для «1С: Комплексная автоматизация 2.4»,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Комплексная автоматизация 2.4», для работы с маркированным товаром: алкоголь ЕГАИС и товары по штрихкодам </v>
      </c>
      <c r="F111" s="5">
        <f ca="1">IFERROR(__xludf.DUMMYFUNCTION("""COMPUTED_VALUE"""),8725)</f>
        <v>8725</v>
      </c>
    </row>
    <row r="112" spans="1:6" ht="44.25" customHeight="1" x14ac:dyDescent="0.2">
      <c r="A112" s="4" t="str">
        <f ca="1">IFERROR(__xludf.DUMMYFUNCTION("""COMPUTED_VALUE"""),"«1С: Комплексная автоматизация 2.4»")</f>
        <v>«1С: Комплексная автоматизация 2.4»</v>
      </c>
      <c r="B112" s="4" t="str">
        <f ca="1">IFERROR(__xludf.DUMMYFUNCTION("""COMPUTED_VALUE"""),"с ЕГАИС (без CheckMark2), МЕГАМАРКЕТ")</f>
        <v>с ЕГАИС (без CheckMark2), МЕГАМАРКЕТ</v>
      </c>
      <c r="C112" s="4" t="str">
        <f ca="1">IFERROR(__xludf.DUMMYFUNCTION("""COMPUTED_VALUE"""),"UP2-RTL15CEV-1CKA24")</f>
        <v>UP2-RTL15CEV-1CKA24</v>
      </c>
      <c r="D112" s="4" t="str">
        <f ca="1">IFERROR(__xludf.DUMMYFUNCTION("""COMPUTED_VALUE"""),"Переход на 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есть"&amp;"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колл"&amp;"ективная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Переход на 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2" s="4" t="str">
        <f ca="1">IFERROR(__xludf.DUMMYFUNCTION("""COMPUTED_VALUE"""),"Переход на 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</v>
      </c>
      <c r="F112" s="5">
        <f ca="1">IFERROR(__xludf.DUMMYFUNCTION("""COMPUTED_VALUE"""),11925)</f>
        <v>11925</v>
      </c>
    </row>
    <row r="113" spans="1:6" ht="44.25" customHeight="1" x14ac:dyDescent="0.2">
      <c r="A113" s="4" t="str">
        <f ca="1">IFERROR(__xludf.DUMMYFUNCTION("""COMPUTED_VALUE"""),"«1С: Комплексная автоматизация 2.4.11»")</f>
        <v>«1С: Комплексная автоматизация 2.4.11»</v>
      </c>
      <c r="B113" s="4" t="str">
        <f ca="1">IFERROR(__xludf.DUMMYFUNCTION("""COMPUTED_VALUE"""),"с МОТП, БАЗОВЫЙ")</f>
        <v>с МОТП, БАЗОВЫЙ</v>
      </c>
      <c r="C113" s="4" t="str">
        <f ca="1">IFERROR(__xludf.DUMMYFUNCTION("""COMPUTED_VALUE"""),"UP2-RTL15AT-1CKA24")</f>
        <v>UP2-RTL15AT-1CKA24</v>
      </c>
      <c r="D113" s="4" t="str">
        <f ca="1">IFERROR(__xludf.DUMMYFUNCTION("""COMPUTED_VALUE"""),"Переход на Mobile SMARTS: Магазин 15 с МОТП, БАЗОВЫЙ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операци"&amp;"и: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Переход на Mobile SMARTS: Магазин 15 с МОТП, БАЗОВЫЙ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3" s="4" t="str">
        <f ca="1">IFERROR(__xludf.DUMMYFUNCTION("""COMPUTED_VALUE"""),"Переход на Mobile SMARTS: Магазин 15 с МОТП, БАЗОВЫЙ для «1С: Комплексная автоматизация 2.4.11», для работы с маркированным товаром: ТАБАК и товары по штрихкодам ")</f>
        <v xml:space="preserve">Переход на Mobile SMARTS: Магазин 15 с МОТП, БАЗОВЫЙ для «1С: Комплексная автоматизация 2.4.11», для работы с маркированным товаром: ТАБАК и товары по штрихкодам </v>
      </c>
      <c r="F113" s="5">
        <f ca="1">IFERROR(__xludf.DUMMYFUNCTION("""COMPUTED_VALUE"""),5575)</f>
        <v>5575</v>
      </c>
    </row>
    <row r="114" spans="1:6" ht="44.25" customHeight="1" x14ac:dyDescent="0.2">
      <c r="A114" s="4" t="str">
        <f ca="1">IFERROR(__xludf.DUMMYFUNCTION("""COMPUTED_VALUE"""),"«1С: Комплексная автоматизация 2.4.11»")</f>
        <v>«1С: Комплексная автоматизация 2.4.11»</v>
      </c>
      <c r="B114" s="4" t="str">
        <f ca="1">IFERROR(__xludf.DUMMYFUNCTION("""COMPUTED_VALUE"""),"с МОТП, РАСШИРЕННЫЙ")</f>
        <v>с МОТП, РАСШИРЕННЫЙ</v>
      </c>
      <c r="C114" s="4" t="str">
        <f ca="1">IFERROR(__xludf.DUMMYFUNCTION("""COMPUTED_VALUE"""),"UP2-RTL15BT-1CKA24")</f>
        <v>UP2-RTL15BT-1CKA24</v>
      </c>
      <c r="D114" s="4" t="str">
        <f ca="1">IFERROR(__xludf.DUMMYFUNCTION("""COMPUTED_VALUE"""),"Переход на Mobile SMARTS: Магазин 15 с МОТП, РАСШИРЕННЫЙ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опе"&amp;"рации: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возмо"&amp;"жности: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(о"&amp;"дин) год")</f>
        <v>Переход на Mobile SMARTS: Магазин 15 с МОТП, РАСШИРЕННЫЙ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4" s="4" t="str">
        <f ca="1">IFERROR(__xludf.DUMMYFUNCTION("""COMPUTED_VALUE"""),"Переход на Mobile SMARTS: Магазин 15 с МОТП, РАСШИРЕННЫЙ для «1С: Комплексная автоматизация 2.4.11», для работы с маркированным товаром: ТАБАК и товары по штрихкодам ")</f>
        <v xml:space="preserve">Переход на Mobile SMARTS: Магазин 15 с МОТП, РАСШИРЕННЫЙ для «1С: Комплексная автоматизация 2.4.11», для работы с маркированным товаром: ТАБАК и товары по штрихкодам </v>
      </c>
      <c r="F114" s="5">
        <f ca="1">IFERROR(__xludf.DUMMYFUNCTION("""COMPUTED_VALUE"""),8725)</f>
        <v>8725</v>
      </c>
    </row>
    <row r="115" spans="1:6" ht="44.25" customHeight="1" x14ac:dyDescent="0.2">
      <c r="A115" s="4" t="str">
        <f ca="1">IFERROR(__xludf.DUMMYFUNCTION("""COMPUTED_VALUE"""),"«1С: Комплексная автоматизация 2.4.11»")</f>
        <v>«1С: Комплексная автоматизация 2.4.11»</v>
      </c>
      <c r="B115" s="4" t="str">
        <f ca="1">IFERROR(__xludf.DUMMYFUNCTION("""COMPUTED_VALUE"""),"с МОТП, МЕГАМАРКЕТ")</f>
        <v>с МОТП, МЕГАМАРКЕТ</v>
      </c>
      <c r="C115" s="4" t="str">
        <f ca="1">IFERROR(__xludf.DUMMYFUNCTION("""COMPUTED_VALUE"""),"UP2-RTL15CT-1CKA24")</f>
        <v>UP2-RTL15CT-1CKA24</v>
      </c>
      <c r="D115" s="4" t="str">
        <f ca="1">IFERROR(__xludf.DUMMYFUNCTION("""COMPUTED_VALUE"""),"Переход на Mobile SMARTS: Магазин 15 с МОТП, МЕГАМАРКЕТ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опер"&amp;"ации: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возмож"&amp;"ности: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Переход на Mobile SMARTS: Магазин 15 с МОТП, МЕГАМАРКЕТ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5" s="4" t="str">
        <f ca="1">IFERROR(__xludf.DUMMYFUNCTION("""COMPUTED_VALUE"""),"Переход на Mobile SMARTS: Магазин 15 с МОТП, МЕГАМАРКЕТ для «1С: Комплексная автоматизация 2.4.11», для работы с маркированным товаром: ТАБАК и товары по штрихкодам ")</f>
        <v xml:space="preserve">Переход на Mobile SMARTS: Магазин 15 с МОТП, МЕГАМАРКЕТ для «1С: Комплексная автоматизация 2.4.11», для работы с маркированным товаром: ТАБАК и товары по штрихкодам </v>
      </c>
      <c r="F115" s="5">
        <f ca="1">IFERROR(__xludf.DUMMYFUNCTION("""COMPUTED_VALUE"""),11925)</f>
        <v>11925</v>
      </c>
    </row>
    <row r="116" spans="1:6" ht="44.25" customHeight="1" x14ac:dyDescent="0.2">
      <c r="A116" s="4" t="str">
        <f ca="1">IFERROR(__xludf.DUMMYFUNCTION("""COMPUTED_VALUE"""),"«1С: Комплексная автоматизация 2.4.11»")</f>
        <v>«1С: Комплексная автоматизация 2.4.11»</v>
      </c>
      <c r="B116" s="4" t="str">
        <f ca="1">IFERROR(__xludf.DUMMYFUNCTION("""COMPUTED_VALUE"""),"с ЕГАИС и МОТП, БАЗОВЫЙ")</f>
        <v>с ЕГАИС и МОТП, БАЗОВЫЙ</v>
      </c>
      <c r="C116" s="4" t="str">
        <f ca="1">IFERROR(__xludf.DUMMYFUNCTION("""COMPUTED_VALUE"""),"UP2-RTL15AET-1CKA24")</f>
        <v>UP2-RTL15AET-1CKA24</v>
      </c>
      <c r="D116" s="4" t="str">
        <f ca="1">IFERROR(__xludf.DUMMYFUNCTION("""COMPUTED_VALUE"""),"Переход на 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 /"&amp;"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6" s="4" t="str">
        <f ca="1">IFERROR(__xludf.DUMMYFUNCTION("""COMPUTED_VALUE"""),"Переход на 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</v>
      </c>
      <c r="F116" s="5">
        <f ca="1">IFERROR(__xludf.DUMMYFUNCTION("""COMPUTED_VALUE"""),6075)</f>
        <v>6075</v>
      </c>
    </row>
    <row r="117" spans="1:6" ht="44.25" customHeight="1" x14ac:dyDescent="0.2">
      <c r="A117" s="4" t="str">
        <f ca="1">IFERROR(__xludf.DUMMYFUNCTION("""COMPUTED_VALUE"""),"«1С: Комплексная автоматизация 2.4.11»")</f>
        <v>«1С: Комплексная автоматизация 2.4.11»</v>
      </c>
      <c r="B117" s="4" t="str">
        <f ca="1">IFERROR(__xludf.DUMMYFUNCTION("""COMPUTED_VALUE"""),"с ЕГАИС и МОТП, РАСШИРЕННЫЙ")</f>
        <v>с ЕГАИС и МОТП, РАСШИРЕННЫЙ</v>
      </c>
      <c r="C117" s="4" t="str">
        <f ca="1">IFERROR(__xludf.DUMMYFUNCTION("""COMPUTED_VALUE"""),"UP2-RTL15BET-1CKA24")</f>
        <v>UP2-RTL15BET-1CKA24</v>
      </c>
      <c r="D117" s="4" t="str">
        <f ca="1">IFERROR(__xludf.DUMMYFUNCTION("""COMPUTED_VALUE"""),"Переход на 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ОНЛА"&amp;"ЙН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п"&amp;"еремещение,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сущес"&amp;"твующих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7" s="4" t="str">
        <f ca="1">IFERROR(__xludf.DUMMYFUNCTION("""COMPUTED_VALUE"""),"Переход на 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</v>
      </c>
      <c r="F117" s="5">
        <f ca="1">IFERROR(__xludf.DUMMYFUNCTION("""COMPUTED_VALUE"""),9275)</f>
        <v>9275</v>
      </c>
    </row>
    <row r="118" spans="1:6" ht="44.25" customHeight="1" x14ac:dyDescent="0.2">
      <c r="A118" s="4" t="str">
        <f ca="1">IFERROR(__xludf.DUMMYFUNCTION("""COMPUTED_VALUE"""),"«1С: Комплексная автоматизация 2.4.11»")</f>
        <v>«1С: Комплексная автоматизация 2.4.11»</v>
      </c>
      <c r="B118" s="4" t="str">
        <f ca="1">IFERROR(__xludf.DUMMYFUNCTION("""COMPUTED_VALUE"""),"с ЕГАИС и МОТП, МЕГАМАРКЕТ")</f>
        <v>с ЕГАИС и МОТП, МЕГАМАРКЕТ</v>
      </c>
      <c r="C118" s="4" t="str">
        <f ca="1">IFERROR(__xludf.DUMMYFUNCTION("""COMPUTED_VALUE"""),"UP2-RTL15CET-1CKA24")</f>
        <v>UP2-RTL15CET-1CKA24</v>
      </c>
      <c r="D118" s="4" t="str">
        <f ca="1">IFERROR(__xludf.DUMMYFUNCTION("""COMPUTED_VALUE"""),"Переход на 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ОНЛАЙ"&amp;"Н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пе"&amp;"ремещение,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экра"&amp;"не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8" s="4" t="str">
        <f ca="1">IFERROR(__xludf.DUMMYFUNCTION("""COMPUTED_VALUE"""),"Переход на 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</v>
      </c>
      <c r="F118" s="5">
        <f ca="1">IFERROR(__xludf.DUMMYFUNCTION("""COMPUTED_VALUE"""),13175)</f>
        <v>13175</v>
      </c>
    </row>
    <row r="119" spans="1:6" ht="44.25" customHeight="1" x14ac:dyDescent="0.2">
      <c r="A119" s="4" t="str">
        <f ca="1">IFERROR(__xludf.DUMMYFUNCTION("""COMPUTED_VALUE"""),"«1С: Комплексная автоматизация 2.4.11»")</f>
        <v>«1С: Комплексная автоматизация 2.4.11»</v>
      </c>
      <c r="B119" s="4" t="str">
        <f ca="1">IFERROR(__xludf.DUMMYFUNCTION("""COMPUTED_VALUE"""),"ШМОТКИ, БАЗОВЫЙ")</f>
        <v>ШМОТКИ, БАЗОВЫЙ</v>
      </c>
      <c r="C119" s="4" t="str">
        <f ca="1">IFERROR(__xludf.DUMMYFUNCTION("""COMPUTED_VALUE"""),"UP2-RTL15AK-1CKA24")</f>
        <v>UP2-RTL15AK-1CKA24</v>
      </c>
      <c r="D119" s="4" t="str">
        <f ca="1">IFERROR(__xludf.DUMMYFUNCTION("""COMPUTED_VALUE"""),"Переход на 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онлай"&amp;"на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Переход на 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9" s="4" t="str">
        <f ca="1">IFERROR(__xludf.DUMMYFUNCTION("""COMPUTED_VALUE"""),"Переход на 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</v>
      </c>
      <c r="F119" s="5">
        <f ca="1">IFERROR(__xludf.DUMMYFUNCTION("""COMPUTED_VALUE"""),6075)</f>
        <v>6075</v>
      </c>
    </row>
    <row r="120" spans="1:6" ht="44.25" customHeight="1" x14ac:dyDescent="0.2">
      <c r="A120" s="4" t="str">
        <f ca="1">IFERROR(__xludf.DUMMYFUNCTION("""COMPUTED_VALUE"""),"«1С: Комплексная автоматизация 2.4.11»")</f>
        <v>«1С: Комплексная автоматизация 2.4.11»</v>
      </c>
      <c r="B120" s="4" t="str">
        <f ca="1">IFERROR(__xludf.DUMMYFUNCTION("""COMPUTED_VALUE"""),"ШМОТКИ, РАСШИРЕННЫЙ")</f>
        <v>ШМОТКИ, РАСШИРЕННЫЙ</v>
      </c>
      <c r="C120" s="4" t="str">
        <f ca="1">IFERROR(__xludf.DUMMYFUNCTION("""COMPUTED_VALUE"""),"UP2-RTL15BK-1CKA24")</f>
        <v>UP2-RTL15BK-1CKA24</v>
      </c>
      <c r="D120" s="4" t="str">
        <f ca="1">IFERROR(__xludf.DUMMYFUNCTION("""COMPUTED_VALUE"""),"Переход на 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"&amp;"ОНЛАЙН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про"&amp;"верка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Переход на 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0" s="4" t="str">
        <f ca="1">IFERROR(__xludf.DUMMYFUNCTION("""COMPUTED_VALUE"""),"Переход на 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</v>
      </c>
      <c r="F120" s="5">
        <f ca="1">IFERROR(__xludf.DUMMYFUNCTION("""COMPUTED_VALUE"""),9275)</f>
        <v>9275</v>
      </c>
    </row>
    <row r="121" spans="1:6" ht="44.25" customHeight="1" x14ac:dyDescent="0.2">
      <c r="A121" s="4" t="str">
        <f ca="1">IFERROR(__xludf.DUMMYFUNCTION("""COMPUTED_VALUE"""),"«1С: Комплексная автоматизация 2.4.11»")</f>
        <v>«1С: Комплексная автоматизация 2.4.11»</v>
      </c>
      <c r="B121" s="4" t="str">
        <f ca="1">IFERROR(__xludf.DUMMYFUNCTION("""COMPUTED_VALUE"""),"ШМОТКИ, МЕГАМАРКЕТ")</f>
        <v>ШМОТКИ, МЕГАМАРКЕТ</v>
      </c>
      <c r="C121" s="4" t="str">
        <f ca="1">IFERROR(__xludf.DUMMYFUNCTION("""COMPUTED_VALUE"""),"UP2-RTL15CK-1CKA24")</f>
        <v>UP2-RTL15CK-1CKA24</v>
      </c>
      <c r="D121" s="4" t="str">
        <f ca="1">IFERROR(__xludf.DUMMYFUNCTION("""COMPUTED_VALUE"""),"Переход на 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О"&amp;"НЛАЙН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пров"&amp;"ерка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на"&amp;" обновления и обмен через Интернет на 1 (один) год")</f>
        <v>Переход на 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1" s="4" t="str">
        <f ca="1">IFERROR(__xludf.DUMMYFUNCTION("""COMPUTED_VALUE"""),"Переход на 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</v>
      </c>
      <c r="F121" s="5">
        <f ca="1">IFERROR(__xludf.DUMMYFUNCTION("""COMPUTED_VALUE"""),13175)</f>
        <v>13175</v>
      </c>
    </row>
    <row r="122" spans="1:6" ht="44.25" customHeight="1" x14ac:dyDescent="0.2">
      <c r="A122" s="4" t="str">
        <f ca="1">IFERROR(__xludf.DUMMYFUNCTION("""COMPUTED_VALUE"""),"«1С: Комплексная автоматизация 2.4.11»")</f>
        <v>«1С: Комплексная автоматизация 2.4.11»</v>
      </c>
      <c r="B122" s="4" t="str">
        <f ca="1">IFERROR(__xludf.DUMMYFUNCTION("""COMPUTED_VALUE"""),"ПРОДУКТОВЫЙ, БАЗОВЫЙ")</f>
        <v>ПРОДУКТОВЫЙ, БАЗОВЫЙ</v>
      </c>
      <c r="C122" s="4" t="str">
        <f ca="1">IFERROR(__xludf.DUMMYFUNCTION("""COMPUTED_VALUE"""),"UP2-RTL15AG-1CKA24")</f>
        <v>UP2-RTL15AG-1CKA24</v>
      </c>
      <c r="D122" s="4" t="str">
        <f ca="1">IFERROR(__xludf.DUMMYFUNCTION("""COMPUTED_VALUE"""),"Переход на 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беспрово"&amp;"дной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возврат,"&amp;"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ост"&amp;"атках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2" s="4" t="str">
        <f ca="1">IFERROR(__xludf.DUMMYFUNCTION("""COMPUTED_VALUE"""),"Переход на 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</v>
      </c>
      <c r="F122" s="5">
        <f ca="1">IFERROR(__xludf.DUMMYFUNCTION("""COMPUTED_VALUE"""),7275)</f>
        <v>7275</v>
      </c>
    </row>
    <row r="123" spans="1:6" ht="44.25" customHeight="1" x14ac:dyDescent="0.2">
      <c r="A123" s="4" t="str">
        <f ca="1">IFERROR(__xludf.DUMMYFUNCTION("""COMPUTED_VALUE"""),"«1С: Комплексная автоматизация 2.4.11»")</f>
        <v>«1С: Комплексная автоматизация 2.4.11»</v>
      </c>
      <c r="B123" s="4" t="str">
        <f ca="1">IFERROR(__xludf.DUMMYFUNCTION("""COMPUTED_VALUE"""),"ПРОДУКТОВЫЙ, РАСШИРЕННЫЙ")</f>
        <v>ПРОДУКТОВЫЙ, РАСШИРЕННЫЙ</v>
      </c>
      <c r="C123" s="4" t="str">
        <f ca="1">IFERROR(__xludf.DUMMYFUNCTION("""COMPUTED_VALUE"""),"UP2-RTL15BG-1CKA24")</f>
        <v>UP2-RTL15BG-1CKA24</v>
      </c>
      <c r="D123" s="4" t="str">
        <f ca="1">IFERROR(__xludf.DUMMYFUNCTION("""COMPUTED_VALUE"""),"Переход на 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бесп"&amp;"роводной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возв"&amp;"рат,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контрагентах,"&amp;"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3" s="4" t="str">
        <f ca="1">IFERROR(__xludf.DUMMYFUNCTION("""COMPUTED_VALUE"""),"Переход на 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</v>
      </c>
      <c r="F123" s="5">
        <f ca="1">IFERROR(__xludf.DUMMYFUNCTION("""COMPUTED_VALUE"""),10475)</f>
        <v>10475</v>
      </c>
    </row>
    <row r="124" spans="1:6" ht="44.25" customHeight="1" x14ac:dyDescent="0.2">
      <c r="A124" s="4" t="str">
        <f ca="1">IFERROR(__xludf.DUMMYFUNCTION("""COMPUTED_VALUE"""),"«1С: Комплексная автоматизация 2.4.11»")</f>
        <v>«1С: Комплексная автоматизация 2.4.11»</v>
      </c>
      <c r="B124" s="4" t="str">
        <f ca="1">IFERROR(__xludf.DUMMYFUNCTION("""COMPUTED_VALUE"""),"ПРОДУКТОВЫЙ, МЕГАМАРКЕТ")</f>
        <v>ПРОДУКТОВЫЙ, МЕГАМАРКЕТ</v>
      </c>
      <c r="C124" s="4" t="str">
        <f ca="1">IFERROR(__xludf.DUMMYFUNCTION("""COMPUTED_VALUE"""),"UP2-RTL15CG-1CKA24")</f>
        <v>UP2-RTL15CG-1CKA24</v>
      </c>
      <c r="D124" s="4" t="str">
        <f ca="1">IFERROR(__xludf.DUMMYFUNCTION("""COMPUTED_VALUE"""),"Переход на 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беспр"&amp;"оводной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возвр"&amp;"ат,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ск"&amp;"ладах,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4" s="4" t="str">
        <f ca="1">IFERROR(__xludf.DUMMYFUNCTION("""COMPUTED_VALUE"""),"Переход на 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</v>
      </c>
      <c r="F124" s="5">
        <f ca="1">IFERROR(__xludf.DUMMYFUNCTION("""COMPUTED_VALUE"""),14125)</f>
        <v>14125</v>
      </c>
    </row>
    <row r="125" spans="1:6" ht="44.25" customHeight="1" x14ac:dyDescent="0.2">
      <c r="A125" s="4" t="str">
        <f ca="1">IFERROR(__xludf.DUMMYFUNCTION("""COMPUTED_VALUE"""),"«1С: Комплексная автоматизация 2.5»")</f>
        <v>«1С: Комплексная автоматизация 2.5»</v>
      </c>
      <c r="B125" s="4" t="str">
        <f ca="1">IFERROR(__xludf.DUMMYFUNCTION("""COMPUTED_VALUE"""),"МИНИМУМ")</f>
        <v>МИНИМУМ</v>
      </c>
      <c r="C125" s="4" t="str">
        <f ca="1">IFERROR(__xludf.DUMMYFUNCTION("""COMPUTED_VALUE"""),"UP2-RTL15M-1CKA25")</f>
        <v>UP2-RTL15M-1CKA25</v>
      </c>
      <c r="D125" s="4" t="str">
        <f ca="1">IFERROR(__xludf.DUMMYFUNCTION("""COMPUTED_VALUE"""),"Переход на Mobile SMARTS: Магазин 15, МИНИМУМ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прос"&amp;"мотр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Переход на Mobile SMARTS: Магазин 15, МИНИМУМ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25" s="4" t="str">
        <f ca="1">IFERROR(__xludf.DUMMYFUNCTION("""COMPUTED_VALUE"""),"Переход на Mobile SMARTS: Магазин 15, МИНИМУМ для «1С: Комплексная автоматизация 2.5», для работы с товаром по штрихкодам ")</f>
        <v xml:space="preserve">Переход на Mobile SMARTS: Магазин 15, МИНИМУМ для «1С: Комплексная автоматизация 2.5», для работы с товаром по штрихкодам </v>
      </c>
      <c r="F125" s="5">
        <f ca="1">IFERROR(__xludf.DUMMYFUNCTION("""COMPUTED_VALUE"""),1725)</f>
        <v>1725</v>
      </c>
    </row>
    <row r="126" spans="1:6" ht="44.25" customHeight="1" x14ac:dyDescent="0.2">
      <c r="A126" s="4" t="str">
        <f ca="1">IFERROR(__xludf.DUMMYFUNCTION("""COMPUTED_VALUE"""),"«1С: Комплексная автоматизация 2.5»")</f>
        <v>«1С: Комплексная автоматизация 2.5»</v>
      </c>
      <c r="B126" s="4" t="str">
        <f ca="1">IFERROR(__xludf.DUMMYFUNCTION("""COMPUTED_VALUE"""),"БАЗОВЫЙ")</f>
        <v>БАЗОВЫЙ</v>
      </c>
      <c r="C126" s="4" t="str">
        <f ca="1">IFERROR(__xludf.DUMMYFUNCTION("""COMPUTED_VALUE"""),"UP2-RTL15A-1CKA25")</f>
        <v>UP2-RTL15A-1CKA25</v>
      </c>
      <c r="D126" s="4" t="str">
        <f ca="1">IFERROR(__xludf.DUMMYFUNCTION("""COMPUTED_VALUE"""),"Переход на Mobile SMARTS: Магазин 15, БАЗОВЫЙ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6" s="4" t="str">
        <f ca="1">IFERROR(__xludf.DUMMYFUNCTION("""COMPUTED_VALUE"""),"Переход на Mobile SMARTS: Магазин 15, БАЗОВЫЙ для «1С: Комплексная автоматизация 2.5», для работы с товаром по штрихкодам ")</f>
        <v xml:space="preserve">Переход на Mobile SMARTS: Магазин 15, БАЗОВЫЙ для «1С: Комплексная автоматизация 2.5», для работы с товаром по штрихкодам </v>
      </c>
      <c r="F126" s="5">
        <f ca="1">IFERROR(__xludf.DUMMYFUNCTION("""COMPUTED_VALUE"""),4325)</f>
        <v>4325</v>
      </c>
    </row>
    <row r="127" spans="1:6" ht="44.25" customHeight="1" x14ac:dyDescent="0.2">
      <c r="A127" s="4" t="str">
        <f ca="1">IFERROR(__xludf.DUMMYFUNCTION("""COMPUTED_VALUE"""),"«1С: Комплексная автоматизация 2.5»")</f>
        <v>«1С: Комплексная автоматизация 2.5»</v>
      </c>
      <c r="B127" s="4" t="str">
        <f ca="1">IFERROR(__xludf.DUMMYFUNCTION("""COMPUTED_VALUE"""),"РАСШИРЕННЫЙ")</f>
        <v>РАСШИРЕННЫЙ</v>
      </c>
      <c r="C127" s="4" t="str">
        <f ca="1">IFERROR(__xludf.DUMMYFUNCTION("""COMPUTED_VALUE"""),"UP2-RTL15B-1CKA25")</f>
        <v>UP2-RTL15B-1CKA25</v>
      </c>
      <c r="D127" s="4" t="str">
        <f ca="1">IFERROR(__xludf.DUMMYFUNCTION("""COMPUTED_VALUE"""),"Переход на Mobile SMARTS: Магазин 15, РАСШИРЕННЫЙ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7" s="4" t="str">
        <f ca="1">IFERROR(__xludf.DUMMYFUNCTION("""COMPUTED_VALUE"""),"Переход на Mobile SMARTS: Магазин 15, РАСШИРЕННЫЙ для «1С: Комплексная автоматизация 2.5», для работы с товаром по штрихкодам ")</f>
        <v xml:space="preserve">Переход на Mobile SMARTS: Магазин 15, РАСШИРЕННЫЙ для «1С: Комплексная автоматизация 2.5», для работы с товаром по штрихкодам </v>
      </c>
      <c r="F127" s="5">
        <f ca="1">IFERROR(__xludf.DUMMYFUNCTION("""COMPUTED_VALUE"""),7525)</f>
        <v>7525</v>
      </c>
    </row>
    <row r="128" spans="1:6" ht="44.25" customHeight="1" x14ac:dyDescent="0.2">
      <c r="A128" s="4" t="str">
        <f ca="1">IFERROR(__xludf.DUMMYFUNCTION("""COMPUTED_VALUE"""),"«1С: Комплексная автоматизация 2.5»")</f>
        <v>«1С: Комплексная автоматизация 2.5»</v>
      </c>
      <c r="B128" s="4" t="str">
        <f ca="1">IFERROR(__xludf.DUMMYFUNCTION("""COMPUTED_VALUE"""),"МЕГАМАРКЕТ")</f>
        <v>МЕГАМАРКЕТ</v>
      </c>
      <c r="C128" s="4" t="str">
        <f ca="1">IFERROR(__xludf.DUMMYFUNCTION("""COMPUTED_VALUE"""),"UP2-RTL15C-1CKA25")</f>
        <v>UP2-RTL15C-1CKA25</v>
      </c>
      <c r="D128" s="4" t="str">
        <f ca="1">IFERROR(__xludf.DUMMYFUNCTION("""COMPUTED_VALUE"""),"Переход на Mobile SMARTS: Магазин 15, МЕГАМАРКЕТ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8" s="4" t="str">
        <f ca="1">IFERROR(__xludf.DUMMYFUNCTION("""COMPUTED_VALUE"""),"Переход на Mobile SMARTS: Магазин 15, МЕГАМАРКЕТ для «1С: Комплексная автоматизация 2.5», для работы с товаром по штрихкодам ")</f>
        <v xml:space="preserve">Переход на Mobile SMARTS: Магазин 15, МЕГАМАРКЕТ для «1С: Комплексная автоматизация 2.5», для работы с товаром по штрихкодам </v>
      </c>
      <c r="F128" s="5">
        <f ca="1">IFERROR(__xludf.DUMMYFUNCTION("""COMPUTED_VALUE"""),10775)</f>
        <v>10775</v>
      </c>
    </row>
    <row r="129" spans="1:6" ht="44.25" customHeight="1" x14ac:dyDescent="0.2">
      <c r="A129" s="4" t="str">
        <f ca="1">IFERROR(__xludf.DUMMYFUNCTION("""COMPUTED_VALUE"""),"«1С: Комплексная автоматизация 2.5»")</f>
        <v>«1С: Комплексная автоматизация 2.5»</v>
      </c>
      <c r="B129" s="4" t="str">
        <f ca="1">IFERROR(__xludf.DUMMYFUNCTION("""COMPUTED_VALUE"""),"с ЕГАИС, БАЗОВЫЙ")</f>
        <v>с ЕГАИС, БАЗОВЫЙ</v>
      </c>
      <c r="C129" s="4" t="str">
        <f ca="1">IFERROR(__xludf.DUMMYFUNCTION("""COMPUTED_VALUE"""),"UP2-RTL15AE-1CKA25")</f>
        <v>UP2-RTL15AE-1CKA25</v>
      </c>
      <c r="D129" s="4" t="str">
        <f ca="1">IFERROR(__xludf.DUMMYFUNCTION("""COMPUTED_VALUE"""),"Переход на Mobile SMARTS: Магазин 15 с ЕГАИС, БАЗОВЫЙ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29" s="4" t="str">
        <f ca="1">IFERROR(__xludf.DUMMYFUNCTION("""COMPUTED_VALUE"""),"Переход на Mobile SMARTS: Магазин 15 с ЕГАИС, БАЗОВЫЙ для «1С: Комплексная автоматизация 2.5», для работы с маркированным товаром: алкоголь ЕГАИС и товары по штрихкодам ")</f>
        <v xml:space="preserve">Переход на Mobile SMARTS: Магазин 15 с ЕГАИС, БАЗОВЫЙ для «1С: Комплексная автоматизация 2.5», для работы с маркированным товаром: алкоголь ЕГАИС и товары по штрихкодам </v>
      </c>
      <c r="F129" s="5">
        <f ca="1">IFERROR(__xludf.DUMMYFUNCTION("""COMPUTED_VALUE"""),5500)</f>
        <v>5500</v>
      </c>
    </row>
    <row r="130" spans="1:6" ht="44.25" customHeight="1" x14ac:dyDescent="0.2">
      <c r="A130" s="4" t="str">
        <f ca="1">IFERROR(__xludf.DUMMYFUNCTION("""COMPUTED_VALUE"""),"«1С: Комплексная автоматизация 2.5»")</f>
        <v>«1С: Комплексная автоматизация 2.5»</v>
      </c>
      <c r="B130" s="4" t="str">
        <f ca="1">IFERROR(__xludf.DUMMYFUNCTION("""COMPUTED_VALUE"""),"с ЕГАИС, РАСШИРЕННЫЙ")</f>
        <v>с ЕГАИС, РАСШИРЕННЫЙ</v>
      </c>
      <c r="C130" s="4" t="str">
        <f ca="1">IFERROR(__xludf.DUMMYFUNCTION("""COMPUTED_VALUE"""),"UP2-RTL15BE-1CKA25")</f>
        <v>UP2-RTL15BE-1CKA25</v>
      </c>
      <c r="D130" s="4" t="str">
        <f ca="1">IFERROR(__xludf.DUMMYFUNCTION("""COMPUTED_VALUE"""),"Переход на Mobile SMARTS: Магазин 15 с ЕГАИС, РАСШИРЕННЫЙ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"&amp;"принтер,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 с ЕГАИС, РАСШИРЕННЫЙ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0" s="4" t="str">
        <f ca="1">IFERROR(__xludf.DUMMYFUNCTION("""COMPUTED_VALUE"""),"Переход на Mobile SMARTS: Магазин 15 с ЕГАИС, РАСШИРЕННЫЙ для «1С: Комплексная автоматизация 2.5»,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Комплексная автоматизация 2.5», для работы с маркированным товаром: алкоголь ЕГАИС и товары по штрихкодам </v>
      </c>
      <c r="F130" s="5">
        <f ca="1">IFERROR(__xludf.DUMMYFUNCTION("""COMPUTED_VALUE"""),8725)</f>
        <v>8725</v>
      </c>
    </row>
    <row r="131" spans="1:6" ht="44.25" customHeight="1" x14ac:dyDescent="0.2">
      <c r="A131" s="4" t="str">
        <f ca="1">IFERROR(__xludf.DUMMYFUNCTION("""COMPUTED_VALUE"""),"«1С: Комплексная автоматизация 2.5»")</f>
        <v>«1С: Комплексная автоматизация 2.5»</v>
      </c>
      <c r="B131" s="4" t="str">
        <f ca="1">IFERROR(__xludf.DUMMYFUNCTION("""COMPUTED_VALUE"""),"с ЕГАИС (без CheckMark2), МЕГАМАРКЕТ")</f>
        <v>с ЕГАИС (без CheckMark2), МЕГАМАРКЕТ</v>
      </c>
      <c r="C131" s="4" t="str">
        <f ca="1">IFERROR(__xludf.DUMMYFUNCTION("""COMPUTED_VALUE"""),"UP2-RTL15CEV-1CKA25")</f>
        <v>UP2-RTL15CEV-1CKA25</v>
      </c>
      <c r="D131" s="4" t="str">
        <f ca="1">IFERROR(__xludf.DUMMYFUNCTION("""COMPUTED_VALUE"""),"Переход на 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есть"&amp;"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колл"&amp;"ективная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Переход на 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1" s="4" t="str">
        <f ca="1">IFERROR(__xludf.DUMMYFUNCTION("""COMPUTED_VALUE"""),"Переход на 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</v>
      </c>
      <c r="F131" s="5">
        <f ca="1">IFERROR(__xludf.DUMMYFUNCTION("""COMPUTED_VALUE"""),11925)</f>
        <v>11925</v>
      </c>
    </row>
    <row r="132" spans="1:6" ht="44.25" customHeight="1" x14ac:dyDescent="0.2">
      <c r="A132" s="4" t="str">
        <f ca="1">IFERROR(__xludf.DUMMYFUNCTION("""COMPUTED_VALUE"""),"«1С: Комплексная автоматизация 2.5»")</f>
        <v>«1С: Комплексная автоматизация 2.5»</v>
      </c>
      <c r="B132" s="4" t="str">
        <f ca="1">IFERROR(__xludf.DUMMYFUNCTION("""COMPUTED_VALUE"""),"с МОТП, БАЗОВЫЙ")</f>
        <v>с МОТП, БАЗОВЫЙ</v>
      </c>
      <c r="C132" s="4" t="str">
        <f ca="1">IFERROR(__xludf.DUMMYFUNCTION("""COMPUTED_VALUE"""),"UP2-RTL15AT-1CKA25")</f>
        <v>UP2-RTL15AT-1CKA25</v>
      </c>
      <c r="D132" s="4" t="str">
        <f ca="1">IFERROR(__xludf.DUMMYFUNCTION("""COMPUTED_VALUE"""),"Переход на Mobile SMARTS: Магазин 15 с МОТП, БАЗОВЫЙ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"&amp;"поступление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 с МОТП, БАЗОВЫЙ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2" s="4" t="str">
        <f ca="1">IFERROR(__xludf.DUMMYFUNCTION("""COMPUTED_VALUE"""),"Переход на Mobile SMARTS: Магазин 15 с МОТП, БАЗОВЫЙ для «1С: Комплексная автоматизация 2.5», для работы с маркированным товаром: ТАБАК и товары по штрихкодам ")</f>
        <v xml:space="preserve">Переход на Mobile SMARTS: Магазин 15 с МОТП, БАЗОВЫЙ для «1С: Комплексная автоматизация 2.5», для работы с маркированным товаром: ТАБАК и товары по штрихкодам </v>
      </c>
      <c r="F132" s="5">
        <f ca="1">IFERROR(__xludf.DUMMYFUNCTION("""COMPUTED_VALUE"""),5575)</f>
        <v>5575</v>
      </c>
    </row>
    <row r="133" spans="1:6" ht="44.25" customHeight="1" x14ac:dyDescent="0.2">
      <c r="A133" s="4" t="str">
        <f ca="1">IFERROR(__xludf.DUMMYFUNCTION("""COMPUTED_VALUE"""),"«1С: Комплексная автоматизация 2.5»")</f>
        <v>«1С: Комплексная автоматизация 2.5»</v>
      </c>
      <c r="B133" s="4" t="str">
        <f ca="1">IFERROR(__xludf.DUMMYFUNCTION("""COMPUTED_VALUE"""),"с МОТП, РАСШИРЕННЫЙ")</f>
        <v>с МОТП, РАСШИРЕННЫЙ</v>
      </c>
      <c r="C133" s="4" t="str">
        <f ca="1">IFERROR(__xludf.DUMMYFUNCTION("""COMPUTED_VALUE"""),"UP2-RTL15BT-1CKA25")</f>
        <v>UP2-RTL15BT-1CKA25</v>
      </c>
      <c r="D133" s="4" t="str">
        <f ca="1">IFERROR(__xludf.DUMMYFUNCTION("""COMPUTED_VALUE"""),"Переход на Mobile SMARTS: Магазин 15 с МОТП, РАСШИРЕННЫЙ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операц"&amp;"ии: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возможно"&amp;"сти: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(один"&amp;") год")</f>
        <v>Переход на Mobile SMARTS: Магазин 15 с МОТП, РАСШИРЕННЫЙ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3" s="4" t="str">
        <f ca="1">IFERROR(__xludf.DUMMYFUNCTION("""COMPUTED_VALUE"""),"Переход на Mobile SMARTS: Магазин 15 с МОТП, РАСШИРЕННЫЙ для «1С: Комплексная автоматизация 2.5», для работы с маркированным товаром: ТАБАК и товары по штрихкодам ")</f>
        <v xml:space="preserve">Переход на Mobile SMARTS: Магазин 15 с МОТП, РАСШИРЕННЫЙ для «1С: Комплексная автоматизация 2.5», для работы с маркированным товаром: ТАБАК и товары по штрихкодам </v>
      </c>
      <c r="F133" s="5">
        <f ca="1">IFERROR(__xludf.DUMMYFUNCTION("""COMPUTED_VALUE"""),8725)</f>
        <v>8725</v>
      </c>
    </row>
    <row r="134" spans="1:6" ht="44.25" customHeight="1" x14ac:dyDescent="0.2">
      <c r="A134" s="4" t="str">
        <f ca="1">IFERROR(__xludf.DUMMYFUNCTION("""COMPUTED_VALUE"""),"«1С: Комплексная автоматизация 2.5»")</f>
        <v>«1С: Комплексная автоматизация 2.5»</v>
      </c>
      <c r="B134" s="4" t="str">
        <f ca="1">IFERROR(__xludf.DUMMYFUNCTION("""COMPUTED_VALUE"""),"с МОТП, МЕГАМАРКЕТ")</f>
        <v>с МОТП, МЕГАМАРКЕТ</v>
      </c>
      <c r="C134" s="4" t="str">
        <f ca="1">IFERROR(__xludf.DUMMYFUNCTION("""COMPUTED_VALUE"""),"UP2-RTL15CT-1CKA25")</f>
        <v>UP2-RTL15CT-1CKA25</v>
      </c>
      <c r="D134" s="4" t="str">
        <f ca="1">IFERROR(__xludf.DUMMYFUNCTION("""COMPUTED_VALUE"""),"Переход на Mobile SMARTS: Магазин 15 с МОТП, МЕГАМАРКЕТ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операци"&amp;"и: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возможнос"&amp;"ти: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Переход на Mobile SMARTS: Магазин 15 с МОТП, МЕГАМАРКЕТ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4" s="4" t="str">
        <f ca="1">IFERROR(__xludf.DUMMYFUNCTION("""COMPUTED_VALUE"""),"Переход на Mobile SMARTS: Магазин 15 с МОТП, МЕГАМАРКЕТ для «1С: Комплексная автоматизация 2.5», для работы с маркированным товаром: ТАБАК и товары по штрихкодам ")</f>
        <v xml:space="preserve">Переход на Mobile SMARTS: Магазин 15 с МОТП, МЕГАМАРКЕТ для «1С: Комплексная автоматизация 2.5», для работы с маркированным товаром: ТАБАК и товары по штрихкодам </v>
      </c>
      <c r="F134" s="5">
        <f ca="1">IFERROR(__xludf.DUMMYFUNCTION("""COMPUTED_VALUE"""),11925)</f>
        <v>11925</v>
      </c>
    </row>
    <row r="135" spans="1:6" ht="44.25" customHeight="1" x14ac:dyDescent="0.2">
      <c r="A135" s="4" t="str">
        <f ca="1">IFERROR(__xludf.DUMMYFUNCTION("""COMPUTED_VALUE"""),"«1С: Комплексная автоматизация 2.5»")</f>
        <v>«1С: Комплексная автоматизация 2.5»</v>
      </c>
      <c r="B135" s="4" t="str">
        <f ca="1">IFERROR(__xludf.DUMMYFUNCTION("""COMPUTED_VALUE"""),"с ЕГАИС и МОТП, БАЗОВЫЙ")</f>
        <v>с ЕГАИС и МОТП, БАЗОВЫЙ</v>
      </c>
      <c r="C135" s="4" t="str">
        <f ca="1">IFERROR(__xludf.DUMMYFUNCTION("""COMPUTED_VALUE"""),"UP2-RTL15AET-1CKA25")</f>
        <v>UP2-RTL15AET-1CKA25</v>
      </c>
      <c r="D135" s="4" t="str">
        <f ca="1">IFERROR(__xludf.DUMMYFUNCTION("""COMPUTED_VALUE"""),"Переход на 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до"&amp;"ступные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5" s="4" t="str">
        <f ca="1">IFERROR(__xludf.DUMMYFUNCTION("""COMPUTED_VALUE"""),"Переход на 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</v>
      </c>
      <c r="F135" s="5">
        <f ca="1">IFERROR(__xludf.DUMMYFUNCTION("""COMPUTED_VALUE"""),6075)</f>
        <v>6075</v>
      </c>
    </row>
    <row r="136" spans="1:6" ht="44.25" customHeight="1" x14ac:dyDescent="0.2">
      <c r="A136" s="4" t="str">
        <f ca="1">IFERROR(__xludf.DUMMYFUNCTION("""COMPUTED_VALUE"""),"«1С: Комплексная автоматизация 2.5»")</f>
        <v>«1С: Комплексная автоматизация 2.5»</v>
      </c>
      <c r="B136" s="4" t="str">
        <f ca="1">IFERROR(__xludf.DUMMYFUNCTION("""COMPUTED_VALUE"""),"с ЕГАИС и МОТП, РАСШИРЕННЫЙ")</f>
        <v>с ЕГАИС и МОТП, РАСШИРЕННЫЙ</v>
      </c>
      <c r="C136" s="4" t="str">
        <f ca="1">IFERROR(__xludf.DUMMYFUNCTION("""COMPUTED_VALUE"""),"UP2-RTL15BET-1CKA25")</f>
        <v>UP2-RTL15BET-1CKA25</v>
      </c>
      <c r="D136" s="4" t="str">
        <f ca="1">IFERROR(__xludf.DUMMYFUNCTION("""COMPUTED_VALUE"""),"Переход на 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"&amp;"/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пере"&amp;"мещение,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6" s="4" t="str">
        <f ca="1">IFERROR(__xludf.DUMMYFUNCTION("""COMPUTED_VALUE"""),"Переход на 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</v>
      </c>
      <c r="F136" s="5">
        <f ca="1">IFERROR(__xludf.DUMMYFUNCTION("""COMPUTED_VALUE"""),9275)</f>
        <v>9275</v>
      </c>
    </row>
    <row r="137" spans="1:6" ht="44.25" customHeight="1" x14ac:dyDescent="0.2">
      <c r="A137" s="4" t="str">
        <f ca="1">IFERROR(__xludf.DUMMYFUNCTION("""COMPUTED_VALUE"""),"«1С: Комплексная автоматизация 2.5»")</f>
        <v>«1С: Комплексная автоматизация 2.5»</v>
      </c>
      <c r="B137" s="4" t="str">
        <f ca="1">IFERROR(__xludf.DUMMYFUNCTION("""COMPUTED_VALUE"""),"с ЕГАИС и МОТП, МЕГАМАРКЕТ")</f>
        <v>с ЕГАИС и МОТП, МЕГАМАРКЕТ</v>
      </c>
      <c r="C137" s="4" t="str">
        <f ca="1">IFERROR(__xludf.DUMMYFUNCTION("""COMPUTED_VALUE"""),"UP2-RTL15CET-1CKA25")</f>
        <v>UP2-RTL15CET-1CKA25</v>
      </c>
      <c r="D137" s="4" t="str">
        <f ca="1">IFERROR(__xludf.DUMMYFUNCTION("""COMPUTED_VALUE"""),"Переход на 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7" s="4" t="str">
        <f ca="1">IFERROR(__xludf.DUMMYFUNCTION("""COMPUTED_VALUE"""),"Переход на 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</v>
      </c>
      <c r="F137" s="5">
        <f ca="1">IFERROR(__xludf.DUMMYFUNCTION("""COMPUTED_VALUE"""),13175)</f>
        <v>13175</v>
      </c>
    </row>
    <row r="138" spans="1:6" ht="44.25" customHeight="1" x14ac:dyDescent="0.2">
      <c r="A138" s="4" t="str">
        <f ca="1">IFERROR(__xludf.DUMMYFUNCTION("""COMPUTED_VALUE"""),"«1С: Комплексная автоматизация 2.5»")</f>
        <v>«1С: Комплексная автоматизация 2.5»</v>
      </c>
      <c r="B138" s="4" t="str">
        <f ca="1">IFERROR(__xludf.DUMMYFUNCTION("""COMPUTED_VALUE"""),"ШМОТКИ, БАЗОВЫЙ")</f>
        <v>ШМОТКИ, БАЗОВЫЙ</v>
      </c>
      <c r="C138" s="4" t="str">
        <f ca="1">IFERROR(__xludf.DUMMYFUNCTION("""COMPUTED_VALUE"""),"UP2-RTL15AK-1CKA25")</f>
        <v>UP2-RTL15AK-1CKA25</v>
      </c>
      <c r="D138" s="4" t="str">
        <f ca="1">IFERROR(__xludf.DUMMYFUNCTION("""COMPUTED_VALUE"""),"Переход на 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"&amp;"/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Переход на 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8" s="4" t="str">
        <f ca="1">IFERROR(__xludf.DUMMYFUNCTION("""COMPUTED_VALUE"""),"Переход на 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</v>
      </c>
      <c r="F138" s="5">
        <f ca="1">IFERROR(__xludf.DUMMYFUNCTION("""COMPUTED_VALUE"""),6075)</f>
        <v>6075</v>
      </c>
    </row>
    <row r="139" spans="1:6" ht="44.25" customHeight="1" x14ac:dyDescent="0.2">
      <c r="A139" s="4" t="str">
        <f ca="1">IFERROR(__xludf.DUMMYFUNCTION("""COMPUTED_VALUE"""),"«1С: Комплексная автоматизация 2.5»")</f>
        <v>«1С: Комплексная автоматизация 2.5»</v>
      </c>
      <c r="B139" s="4" t="str">
        <f ca="1">IFERROR(__xludf.DUMMYFUNCTION("""COMPUTED_VALUE"""),"ШМОТКИ, РАСШИРЕННЫЙ")</f>
        <v>ШМОТКИ, РАСШИРЕННЫЙ</v>
      </c>
      <c r="C139" s="4" t="str">
        <f ca="1">IFERROR(__xludf.DUMMYFUNCTION("""COMPUTED_VALUE"""),"UP2-RTL15BK-1CKA25")</f>
        <v>UP2-RTL15BK-1CKA25</v>
      </c>
      <c r="D139" s="4" t="str">
        <f ca="1">IFERROR(__xludf.DUMMYFUNCTION("""COMPUTED_VALUE"""),"Переход на 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ОНЛ"&amp;"АЙН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провер"&amp;"ка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Переход на 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9" s="4" t="str">
        <f ca="1">IFERROR(__xludf.DUMMYFUNCTION("""COMPUTED_VALUE"""),"Переход на 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</v>
      </c>
      <c r="F139" s="5">
        <f ca="1">IFERROR(__xludf.DUMMYFUNCTION("""COMPUTED_VALUE"""),9275)</f>
        <v>9275</v>
      </c>
    </row>
    <row r="140" spans="1:6" ht="44.25" customHeight="1" x14ac:dyDescent="0.2">
      <c r="A140" s="4" t="str">
        <f ca="1">IFERROR(__xludf.DUMMYFUNCTION("""COMPUTED_VALUE"""),"«1С: Комплексная автоматизация 2.5»")</f>
        <v>«1С: Комплексная автоматизация 2.5»</v>
      </c>
      <c r="B140" s="4" t="str">
        <f ca="1">IFERROR(__xludf.DUMMYFUNCTION("""COMPUTED_VALUE"""),"ШМОТКИ, МЕГАМАРКЕТ")</f>
        <v>ШМОТКИ, МЕГАМАРКЕТ</v>
      </c>
      <c r="C140" s="4" t="str">
        <f ca="1">IFERROR(__xludf.DUMMYFUNCTION("""COMPUTED_VALUE"""),"UP2-RTL15CK-1CKA25")</f>
        <v>UP2-RTL15CK-1CKA25</v>
      </c>
      <c r="D140" s="4" t="str">
        <f ca="1">IFERROR(__xludf.DUMMYFUNCTION("""COMPUTED_VALUE"""),"Переход на 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Переход на 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0" s="4" t="str">
        <f ca="1">IFERROR(__xludf.DUMMYFUNCTION("""COMPUTED_VALUE"""),"Переход на 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</v>
      </c>
      <c r="F140" s="5">
        <f ca="1">IFERROR(__xludf.DUMMYFUNCTION("""COMPUTED_VALUE"""),13175)</f>
        <v>13175</v>
      </c>
    </row>
    <row r="141" spans="1:6" ht="44.25" customHeight="1" x14ac:dyDescent="0.2">
      <c r="A141" s="4" t="str">
        <f ca="1">IFERROR(__xludf.DUMMYFUNCTION("""COMPUTED_VALUE"""),"«1С: Комплексная автоматизация 2.5»")</f>
        <v>«1С: Комплексная автоматизация 2.5»</v>
      </c>
      <c r="B141" s="4" t="str">
        <f ca="1">IFERROR(__xludf.DUMMYFUNCTION("""COMPUTED_VALUE"""),"ПРОДУКТОВЫЙ, БАЗОВЫЙ")</f>
        <v>ПРОДУКТОВЫЙ, БАЗОВЫЙ</v>
      </c>
      <c r="C141" s="4" t="str">
        <f ca="1">IFERROR(__xludf.DUMMYFUNCTION("""COMPUTED_VALUE"""),"UP2-RTL15AG-1CKA25")</f>
        <v>UP2-RTL15AG-1CKA25</v>
      </c>
      <c r="D141" s="4" t="str">
        <f ca="1">IFERROR(__xludf.DUMMYFUNCTION("""COMPUTED_VALUE"""),"Переход на 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беспроводно"&amp;"й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по"&amp;"дбор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1" s="4" t="str">
        <f ca="1">IFERROR(__xludf.DUMMYFUNCTION("""COMPUTED_VALUE"""),"Переход на 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</v>
      </c>
      <c r="F141" s="5">
        <f ca="1">IFERROR(__xludf.DUMMYFUNCTION("""COMPUTED_VALUE"""),7275)</f>
        <v>7275</v>
      </c>
    </row>
    <row r="142" spans="1:6" ht="44.25" customHeight="1" x14ac:dyDescent="0.2">
      <c r="A142" s="4" t="str">
        <f ca="1">IFERROR(__xludf.DUMMYFUNCTION("""COMPUTED_VALUE"""),"«1С: Комплексная автоматизация 2.5»")</f>
        <v>«1С: Комплексная автоматизация 2.5»</v>
      </c>
      <c r="B142" s="4" t="str">
        <f ca="1">IFERROR(__xludf.DUMMYFUNCTION("""COMPUTED_VALUE"""),"ПРОДУКТОВЫЙ, РАСШИРЕННЫЙ")</f>
        <v>ПРОДУКТОВЫЙ, РАСШИРЕННЫЙ</v>
      </c>
      <c r="C142" s="4" t="str">
        <f ca="1">IFERROR(__xludf.DUMMYFUNCTION("""COMPUTED_VALUE"""),"UP2-RTL15BG-1CKA25")</f>
        <v>UP2-RTL15BG-1CKA25</v>
      </c>
      <c r="D142" s="4" t="str">
        <f ca="1">IFERROR(__xludf.DUMMYFUNCTION("""COMPUTED_VALUE"""),"Переход на 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беспров"&amp;"одной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возврат"&amp;",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2" s="4" t="str">
        <f ca="1">IFERROR(__xludf.DUMMYFUNCTION("""COMPUTED_VALUE"""),"Переход на 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</v>
      </c>
      <c r="F142" s="5">
        <f ca="1">IFERROR(__xludf.DUMMYFUNCTION("""COMPUTED_VALUE"""),10475)</f>
        <v>10475</v>
      </c>
    </row>
    <row r="143" spans="1:6" ht="44.25" customHeight="1" x14ac:dyDescent="0.2">
      <c r="A143" s="4" t="str">
        <f ca="1">IFERROR(__xludf.DUMMYFUNCTION("""COMPUTED_VALUE"""),"«1С: Комплексная автоматизация 2.5»")</f>
        <v>«1С: Комплексная автоматизация 2.5»</v>
      </c>
      <c r="B143" s="4" t="str">
        <f ca="1">IFERROR(__xludf.DUMMYFUNCTION("""COMPUTED_VALUE"""),"ПРОДУКТОВЫЙ, МЕГАМАРКЕТ")</f>
        <v>ПРОДУКТОВЫЙ, МЕГАМАРКЕТ</v>
      </c>
      <c r="C143" s="4" t="str">
        <f ca="1">IFERROR(__xludf.DUMMYFUNCTION("""COMPUTED_VALUE"""),"UP2-RTL15CG-1CKA25")</f>
        <v>UP2-RTL15CG-1CKA25</v>
      </c>
      <c r="D143" s="4" t="str">
        <f ca="1">IFERROR(__xludf.DUMMYFUNCTION("""COMPUTED_VALUE"""),"Переход на 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беспрово"&amp;"дной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возврат,"&amp;"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3" s="4" t="str">
        <f ca="1">IFERROR(__xludf.DUMMYFUNCTION("""COMPUTED_VALUE"""),"Переход на 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</v>
      </c>
      <c r="F143" s="5">
        <f ca="1">IFERROR(__xludf.DUMMYFUNCTION("""COMPUTED_VALUE"""),14125)</f>
        <v>14125</v>
      </c>
    </row>
    <row r="144" spans="1:6" ht="44.25" customHeight="1" x14ac:dyDescent="0.2">
      <c r="A144" s="4" t="str">
        <f ca="1">IFERROR(__xludf.DUMMYFUNCTION("""COMPUTED_VALUE"""),"«1С: Управление торговлей 10.3»")</f>
        <v>«1С: Управление торговлей 10.3»</v>
      </c>
      <c r="B144" s="4" t="str">
        <f ca="1">IFERROR(__xludf.DUMMYFUNCTION("""COMPUTED_VALUE"""),"МИНИМУМ")</f>
        <v>МИНИМУМ</v>
      </c>
      <c r="C144" s="4" t="str">
        <f ca="1">IFERROR(__xludf.DUMMYFUNCTION("""COMPUTED_VALUE"""),"UP2-RTL15M-1CUT103")</f>
        <v>UP2-RTL15M-1CUT103</v>
      </c>
      <c r="D144" s="4" t="str">
        <f ca="1">IFERROR(__xludf.DUMMYFUNCTION("""COMPUTED_VALUE"""),"Переход на Mobile SMARTS: Магазин 15, МИНИМУМ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просмотр"&amp;"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н"&amp;"а 1 (один) год")</f>
        <v>Переход на Mobile SMARTS: Магазин 15, МИНИМУМ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44" s="4" t="str">
        <f ca="1">IFERROR(__xludf.DUMMYFUNCTION("""COMPUTED_VALUE"""),"Переход на Mobile SMARTS: Магазин 15, МИНИМУМ для «1С: Управление торговлей 10.3», для работы с товаром по штрихкодам ")</f>
        <v xml:space="preserve">Переход на Mobile SMARTS: Магазин 15, МИНИМУМ для «1С: Управление торговлей 10.3», для работы с товаром по штрихкодам </v>
      </c>
      <c r="F144" s="5">
        <f ca="1">IFERROR(__xludf.DUMMYFUNCTION("""COMPUTED_VALUE"""),1725)</f>
        <v>1725</v>
      </c>
    </row>
    <row r="145" spans="1:6" ht="44.25" customHeight="1" x14ac:dyDescent="0.2">
      <c r="A145" s="4" t="str">
        <f ca="1">IFERROR(__xludf.DUMMYFUNCTION("""COMPUTED_VALUE"""),"«1С: Управление торговлей 10.3»")</f>
        <v>«1С: Управление торговлей 10.3»</v>
      </c>
      <c r="B145" s="4" t="str">
        <f ca="1">IFERROR(__xludf.DUMMYFUNCTION("""COMPUTED_VALUE"""),"БАЗОВЫЙ")</f>
        <v>БАЗОВЫЙ</v>
      </c>
      <c r="C145" s="4" t="str">
        <f ca="1">IFERROR(__xludf.DUMMYFUNCTION("""COMPUTED_VALUE"""),"UP2-RTL15A-1CUT103")</f>
        <v>UP2-RTL15A-1CUT103</v>
      </c>
      <c r="D145" s="4" t="str">
        <f ca="1">IFERROR(__xludf.DUMMYFUNCTION("""COMPUTED_VALUE"""),"Переход на Mobile SMARTS: Магазин 15, БАЗОВЫЙ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5" s="4" t="str">
        <f ca="1">IFERROR(__xludf.DUMMYFUNCTION("""COMPUTED_VALUE"""),"Переход на Mobile SMARTS: Магазин 15, БАЗОВЫЙ для «1С: Управление торговлей 10.3», для работы с товаром по штрихкодам ")</f>
        <v xml:space="preserve">Переход на Mobile SMARTS: Магазин 15, БАЗОВЫЙ для «1С: Управление торговлей 10.3», для работы с товаром по штрихкодам </v>
      </c>
      <c r="F145" s="5">
        <f ca="1">IFERROR(__xludf.DUMMYFUNCTION("""COMPUTED_VALUE"""),4325)</f>
        <v>4325</v>
      </c>
    </row>
    <row r="146" spans="1:6" ht="44.25" customHeight="1" x14ac:dyDescent="0.2">
      <c r="A146" s="4" t="str">
        <f ca="1">IFERROR(__xludf.DUMMYFUNCTION("""COMPUTED_VALUE"""),"«1С: Управление торговлей 10.3»")</f>
        <v>«1С: Управление торговлей 10.3»</v>
      </c>
      <c r="B146" s="4" t="str">
        <f ca="1">IFERROR(__xludf.DUMMYFUNCTION("""COMPUTED_VALUE"""),"РАСШИРЕННЫЙ")</f>
        <v>РАСШИРЕННЫЙ</v>
      </c>
      <c r="C146" s="4" t="str">
        <f ca="1">IFERROR(__xludf.DUMMYFUNCTION("""COMPUTED_VALUE"""),"UP2-RTL15B-1CUT103")</f>
        <v>UP2-RTL15B-1CUT103</v>
      </c>
      <c r="D146" s="4" t="str">
        <f ca="1">IFERROR(__xludf.DUMMYFUNCTION("""COMPUTED_VALUE"""),"Переход на Mobile SMARTS: Магазин 15, РАСШИРЕННЫЙ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6" s="4" t="str">
        <f ca="1">IFERROR(__xludf.DUMMYFUNCTION("""COMPUTED_VALUE"""),"Переход на Mobile SMARTS: Магазин 15, РАСШИРЕННЫЙ для «1С: Управление торговлей 10.3», для работы с товаром по штрихкодам ")</f>
        <v xml:space="preserve">Переход на Mobile SMARTS: Магазин 15, РАСШИРЕННЫЙ для «1С: Управление торговлей 10.3», для работы с товаром по штрихкодам </v>
      </c>
      <c r="F146" s="5">
        <f ca="1">IFERROR(__xludf.DUMMYFUNCTION("""COMPUTED_VALUE"""),7525)</f>
        <v>7525</v>
      </c>
    </row>
    <row r="147" spans="1:6" ht="44.25" customHeight="1" x14ac:dyDescent="0.2">
      <c r="A147" s="4" t="str">
        <f ca="1">IFERROR(__xludf.DUMMYFUNCTION("""COMPUTED_VALUE"""),"«1С: Управление торговлей 10.3»")</f>
        <v>«1С: Управление торговлей 10.3»</v>
      </c>
      <c r="B147" s="4" t="str">
        <f ca="1">IFERROR(__xludf.DUMMYFUNCTION("""COMPUTED_VALUE"""),"МЕГАМАРКЕТ")</f>
        <v>МЕГАМАРКЕТ</v>
      </c>
      <c r="C147" s="4" t="str">
        <f ca="1">IFERROR(__xludf.DUMMYFUNCTION("""COMPUTED_VALUE"""),"UP2-RTL15C-1CUT103")</f>
        <v>UP2-RTL15C-1CUT103</v>
      </c>
      <c r="D147" s="4" t="str">
        <f ca="1">IFERROR(__xludf.DUMMYFUNCTION("""COMPUTED_VALUE"""),"Переход на Mobile SMARTS: Магазин 15, МЕГАМАРКЕТ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7" s="4" t="str">
        <f ca="1">IFERROR(__xludf.DUMMYFUNCTION("""COMPUTED_VALUE"""),"Переход на Mobile SMARTS: Магазин 15, МЕГАМАРКЕТ для «1С: Управление торговлей 10.3», для работы с товаром по штрихкодам ")</f>
        <v xml:space="preserve">Переход на Mobile SMARTS: Магазин 15, МЕГАМАРКЕТ для «1С: Управление торговлей 10.3», для работы с товаром по штрихкодам </v>
      </c>
      <c r="F147" s="5">
        <f ca="1">IFERROR(__xludf.DUMMYFUNCTION("""COMPUTED_VALUE"""),10775)</f>
        <v>10775</v>
      </c>
    </row>
    <row r="148" spans="1:6" ht="44.25" customHeight="1" x14ac:dyDescent="0.2">
      <c r="A148" s="4" t="str">
        <f ca="1">IFERROR(__xludf.DUMMYFUNCTION("""COMPUTED_VALUE"""),"«1С: Управление торговлей 10.3»")</f>
        <v>«1С: Управление торговлей 10.3»</v>
      </c>
      <c r="B148" s="4" t="str">
        <f ca="1">IFERROR(__xludf.DUMMYFUNCTION("""COMPUTED_VALUE"""),"с ЕГАИС, БАЗОВЫЙ")</f>
        <v>с ЕГАИС, БАЗОВЫЙ</v>
      </c>
      <c r="C148" s="4" t="str">
        <f ca="1">IFERROR(__xludf.DUMMYFUNCTION("""COMPUTED_VALUE"""),"UP2-RTL15AE-1CUT103")</f>
        <v>UP2-RTL15AE-1CUT103</v>
      </c>
      <c r="D148" s="4" t="str">
        <f ca="1">IFERROR(__xludf.DUMMYFUNCTION("""COMPUTED_VALUE"""),"Переход на Mobile SMARTS: Магазин 15 с ЕГАИС, БАЗОВЫЙ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опер"&amp;"ации: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принтер,"&amp;"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48" s="4" t="str">
        <f ca="1">IFERROR(__xludf.DUMMYFUNCTION("""COMPUTED_VALUE"""),"Переход на Mobile SMARTS: Магазин 15 с ЕГАИС, БАЗОВЫЙ для «1С: Управление торговлей 10.3», для работы с маркированным товаром: алкоголь ЕГАИС и товары по штрихкодам ")</f>
        <v xml:space="preserve">Переход на Mobile SMARTS: Магазин 15 с ЕГАИС, БАЗОВЫЙ для «1С: Управление торговлей 10.3», для работы с маркированным товаром: алкоголь ЕГАИС и товары по штрихкодам </v>
      </c>
      <c r="F148" s="5">
        <f ca="1">IFERROR(__xludf.DUMMYFUNCTION("""COMPUTED_VALUE"""),5500)</f>
        <v>5500</v>
      </c>
    </row>
    <row r="149" spans="1:6" ht="44.25" customHeight="1" x14ac:dyDescent="0.2">
      <c r="A149" s="4" t="str">
        <f ca="1">IFERROR(__xludf.DUMMYFUNCTION("""COMPUTED_VALUE"""),"«1С: Управление торговлей 10.3»")</f>
        <v>«1С: Управление торговлей 10.3»</v>
      </c>
      <c r="B149" s="4" t="str">
        <f ca="1">IFERROR(__xludf.DUMMYFUNCTION("""COMPUTED_VALUE"""),"с ЕГАИС, РАСШИРЕННЫЙ")</f>
        <v>с ЕГАИС, РАСШИРЕННЫЙ</v>
      </c>
      <c r="C149" s="4" t="str">
        <f ca="1">IFERROR(__xludf.DUMMYFUNCTION("""COMPUTED_VALUE"""),"UP2-RTL15BE-1CUT103")</f>
        <v>UP2-RTL15BE-1CUT103</v>
      </c>
      <c r="D149" s="4" t="str">
        <f ca="1">IFERROR(__xludf.DUMMYFUNCTION("""COMPUTED_VALUE"""),"Переход на Mobile SMARTS: Магазин 15 с ЕГАИС, РАСШИРЕННЫЙ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(один"&amp;") год")</f>
        <v>Переход на Mobile SMARTS: Магазин 15 с ЕГАИС, РАСШИРЕННЫЙ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9" s="4" t="str">
        <f ca="1">IFERROR(__xludf.DUMMYFUNCTION("""COMPUTED_VALUE"""),"Переход на Mobile SMARTS: Магазин 15 с ЕГАИС, РАСШИРЕННЫЙ для «1С: Управление торговлей 10.3»,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Управление торговлей 10.3», для работы с маркированным товаром: алкоголь ЕГАИС и товары по штрихкодам </v>
      </c>
      <c r="F149" s="5">
        <f ca="1">IFERROR(__xludf.DUMMYFUNCTION("""COMPUTED_VALUE"""),8725)</f>
        <v>8725</v>
      </c>
    </row>
    <row r="150" spans="1:6" ht="44.25" customHeight="1" x14ac:dyDescent="0.2">
      <c r="A150" s="4" t="str">
        <f ca="1">IFERROR(__xludf.DUMMYFUNCTION("""COMPUTED_VALUE"""),"«1С: Управление торговлей 10.3»")</f>
        <v>«1С: Управление торговлей 10.3»</v>
      </c>
      <c r="B150" s="4" t="str">
        <f ca="1">IFERROR(__xludf.DUMMYFUNCTION("""COMPUTED_VALUE"""),"с ЕГАИС (без CheckMark2), МЕГАМАРКЕТ")</f>
        <v>с ЕГАИС (без CheckMark2), МЕГАМАРКЕТ</v>
      </c>
      <c r="C150" s="4" t="str">
        <f ca="1">IFERROR(__xludf.DUMMYFUNCTION("""COMPUTED_VALUE"""),"UP2-RTL15CEV-1CUT103")</f>
        <v>UP2-RTL15CEV-1CUT103</v>
      </c>
      <c r="D150" s="4" t="str">
        <f ca="1">IFERROR(__xludf.DUMMYFUNCTION("""COMPUTED_VALUE"""),"Переход на 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ОНЛ"&amp;"АЙН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коллекти"&amp;"вная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Переход на 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0" s="4" t="str">
        <f ca="1">IFERROR(__xludf.DUMMYFUNCTION("""COMPUTED_VALUE"""),"Переход на 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</v>
      </c>
      <c r="F150" s="5">
        <f ca="1">IFERROR(__xludf.DUMMYFUNCTION("""COMPUTED_VALUE"""),11925)</f>
        <v>11925</v>
      </c>
    </row>
    <row r="151" spans="1:6" ht="44.25" customHeight="1" x14ac:dyDescent="0.2">
      <c r="A151" s="4" t="str">
        <f ca="1">IFERROR(__xludf.DUMMYFUNCTION("""COMPUTED_VALUE"""),"«1С: Управление торговлей 10.3.59»")</f>
        <v>«1С: Управление торговлей 10.3.59»</v>
      </c>
      <c r="B151" s="4" t="str">
        <f ca="1">IFERROR(__xludf.DUMMYFUNCTION("""COMPUTED_VALUE"""),"с МОТП, БАЗОВЫЙ")</f>
        <v>с МОТП, БАЗОВЫЙ</v>
      </c>
      <c r="C151" s="4" t="str">
        <f ca="1">IFERROR(__xludf.DUMMYFUNCTION("""COMPUTED_VALUE"""),"UP2-RTL15AT-1CUT103")</f>
        <v>UP2-RTL15AT-1CUT103</v>
      </c>
      <c r="D151" s="4" t="str">
        <f ca="1">IFERROR(__xludf.DUMMYFUNCTION("""COMPUTED_VALUE"""),"Переход на Mobile SMARTS: Магазин 15 с МОТП, БАЗОВЫЙ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п"&amp;"оступление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1" s="4" t="str">
        <f ca="1">IFERROR(__xludf.DUMMYFUNCTION("""COMPUTED_VALUE"""),"Переход на Mobile SMARTS: Магазин 15 с МОТП, БАЗОВЫЙ для «1С: Управление торговлей 10.3.59», для работы с маркированным товаром: ТАБАК и товары по штрихкодам ")</f>
        <v xml:space="preserve">Переход на Mobile SMARTS: Магазин 15 с МОТП, БАЗОВЫЙ для «1С: Управление торговлей 10.3.59», для работы с маркированным товаром: ТАБАК и товары по штрихкодам </v>
      </c>
      <c r="F151" s="5">
        <f ca="1">IFERROR(__xludf.DUMMYFUNCTION("""COMPUTED_VALUE"""),5575)</f>
        <v>5575</v>
      </c>
    </row>
    <row r="152" spans="1:6" ht="44.25" customHeight="1" x14ac:dyDescent="0.2">
      <c r="A152" s="4" t="str">
        <f ca="1">IFERROR(__xludf.DUMMYFUNCTION("""COMPUTED_VALUE"""),"«1С: Управление торговлей 10.3.59»")</f>
        <v>«1С: Управление торговлей 10.3.59»</v>
      </c>
      <c r="B152" s="4" t="str">
        <f ca="1">IFERROR(__xludf.DUMMYFUNCTION("""COMPUTED_VALUE"""),"с МОТП, РАСШИРЕННЫЙ")</f>
        <v>с МОТП, РАСШИРЕННЫЙ</v>
      </c>
      <c r="C152" s="4" t="str">
        <f ca="1">IFERROR(__xludf.DUMMYFUNCTION("""COMPUTED_VALUE"""),"UP2-RTL15BT-1CUT103")</f>
        <v>UP2-RTL15BT-1CUT103</v>
      </c>
      <c r="D152" s="4" t="str">
        <f ca="1">IFERROR(__xludf.DUMMYFUNCTION("""COMPUTED_VALUE"""),"Переход на Mobile SMARTS: Магазин 15 с МОТП, РАСШИРЕННЫЙ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операци"&amp;"и: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Переход на Mobile SMARTS: Магазин 15 с МОТП, РАСШИРЕННЫЙ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2" s="4" t="str">
        <f ca="1">IFERROR(__xludf.DUMMYFUNCTION("""COMPUTED_VALUE"""),"Переход на Mobile SMARTS: Магазин 15 с МОТП, РАСШИРЕННЫЙ для «1С: Управление торговлей 10.3.59», для работы с маркированным товаром: ТАБАК и товары по штрихкодам ")</f>
        <v xml:space="preserve">Переход на Mobile SMARTS: Магазин 15 с МОТП, РАСШИРЕННЫЙ для «1С: Управление торговлей 10.3.59», для работы с маркированным товаром: ТАБАК и товары по штрихкодам </v>
      </c>
      <c r="F152" s="5">
        <f ca="1">IFERROR(__xludf.DUMMYFUNCTION("""COMPUTED_VALUE"""),8725)</f>
        <v>8725</v>
      </c>
    </row>
    <row r="153" spans="1:6" ht="44.25" customHeight="1" x14ac:dyDescent="0.2">
      <c r="A153" s="4" t="str">
        <f ca="1">IFERROR(__xludf.DUMMYFUNCTION("""COMPUTED_VALUE"""),"«1С: Управление торговлей 10.3.59»")</f>
        <v>«1С: Управление торговлей 10.3.59»</v>
      </c>
      <c r="B153" s="4" t="str">
        <f ca="1">IFERROR(__xludf.DUMMYFUNCTION("""COMPUTED_VALUE"""),"с МОТП, МЕГАМАРКЕТ")</f>
        <v>с МОТП, МЕГАМАРКЕТ</v>
      </c>
      <c r="C153" s="4" t="str">
        <f ca="1">IFERROR(__xludf.DUMMYFUNCTION("""COMPUTED_VALUE"""),"UP2-RTL15CT-1CUT103")</f>
        <v>UP2-RTL15CT-1CUT103</v>
      </c>
      <c r="D153" s="4" t="str">
        <f ca="1">IFERROR(__xludf.DUMMYFUNCTION("""COMPUTED_VALUE"""),"Переход на Mobile SMARTS: Магазин 15 с МОТП, МЕГАМАРКЕТ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операции"&amp;":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возможност"&amp;"и: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"&amp;"Интернет на 1 (один) год")</f>
        <v>Переход на Mobile SMARTS: Магазин 15 с МОТП, МЕГАМАРКЕТ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3" s="4" t="str">
        <f ca="1">IFERROR(__xludf.DUMMYFUNCTION("""COMPUTED_VALUE"""),"Переход на Mobile SMARTS: Магазин 15 с МОТП, МЕГАМАРКЕТ для «1С: Управление торговлей 10.3.59», для работы с маркированным товаром: ТАБАК и товары по штрихкодам ")</f>
        <v xml:space="preserve">Переход на Mobile SMARTS: Магазин 15 с МОТП, МЕГАМАРКЕТ для «1С: Управление торговлей 10.3.59», для работы с маркированным товаром: ТАБАК и товары по штрихкодам </v>
      </c>
      <c r="F153" s="5">
        <f ca="1">IFERROR(__xludf.DUMMYFUNCTION("""COMPUTED_VALUE"""),11925)</f>
        <v>11925</v>
      </c>
    </row>
    <row r="154" spans="1:6" ht="44.25" customHeight="1" x14ac:dyDescent="0.2">
      <c r="A154" s="4" t="str">
        <f ca="1">IFERROR(__xludf.DUMMYFUNCTION("""COMPUTED_VALUE"""),"«1С: Управление торговлей 10.3.59»")</f>
        <v>«1С: Управление торговлей 10.3.59»</v>
      </c>
      <c r="B154" s="4" t="str">
        <f ca="1">IFERROR(__xludf.DUMMYFUNCTION("""COMPUTED_VALUE"""),"с ЕГАИС и МОТП, БАЗОВЫЙ")</f>
        <v>с ЕГАИС и МОТП, БАЗОВЫЙ</v>
      </c>
      <c r="C154" s="4" t="str">
        <f ca="1">IFERROR(__xludf.DUMMYFUNCTION("""COMPUTED_VALUE"""),"UP2-RTL15AET-1CUT103")</f>
        <v>UP2-RTL15AET-1CUT103</v>
      </c>
      <c r="D154" s="4" t="str">
        <f ca="1">IFERROR(__xludf.DUMMYFUNCTION("""COMPUTED_VALUE"""),"Переход на Mobile SMARTS: Магазин 15 с ЕГАИС и МОТП, БАЗОВЫЙ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дос"&amp;"тупные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перемещен"&amp;"ие,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"&amp;"операций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4" s="4" t="str">
        <f ca="1">IFERROR(__xludf.DUMMYFUNCTION("""COMPUTED_VALUE"""),"Переход на Mobile SMARTS: Магазин 15 с ЕГАИС и МОТП, БАЗОВЫЙ для «1С: Управление торговлей 10.3.59»,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Управление торговлей 10.3.59», для работы с маркированным товаром: АЛКОГОЛЬ, ТАБАК и товары по штрихкодам </v>
      </c>
      <c r="F154" s="5">
        <f ca="1">IFERROR(__xludf.DUMMYFUNCTION("""COMPUTED_VALUE"""),6075)</f>
        <v>6075</v>
      </c>
    </row>
    <row r="155" spans="1:6" ht="44.25" customHeight="1" x14ac:dyDescent="0.2">
      <c r="A155" s="4" t="str">
        <f ca="1">IFERROR(__xludf.DUMMYFUNCTION("""COMPUTED_VALUE"""),"«1С: Управление торговлей 10.3.59»")</f>
        <v>«1С: Управление торговлей 10.3.59»</v>
      </c>
      <c r="B155" s="4" t="str">
        <f ca="1">IFERROR(__xludf.DUMMYFUNCTION("""COMPUTED_VALUE"""),"с ЕГАИС и МОТП, РАСШИРЕННЫЙ")</f>
        <v>с ЕГАИС и МОТП, РАСШИРЕННЫЙ</v>
      </c>
      <c r="C155" s="4" t="str">
        <f ca="1">IFERROR(__xludf.DUMMYFUNCTION("""COMPUTED_VALUE"""),"UP2-RTL15BET-1CUT103")</f>
        <v>UP2-RTL15BET-1CUT103</v>
      </c>
      <c r="D155" s="4" t="str">
        <f ca="1">IFERROR(__xludf.DUMMYFUNCTION("""COMPUTED_VALUE"""),"Переход на 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5" s="4" t="str">
        <f ca="1">IFERROR(__xludf.DUMMYFUNCTION("""COMPUTED_VALUE"""),"Переход на 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</v>
      </c>
      <c r="F155" s="5">
        <f ca="1">IFERROR(__xludf.DUMMYFUNCTION("""COMPUTED_VALUE"""),9275)</f>
        <v>9275</v>
      </c>
    </row>
    <row r="156" spans="1:6" ht="44.25" customHeight="1" x14ac:dyDescent="0.2">
      <c r="A156" s="4" t="str">
        <f ca="1">IFERROR(__xludf.DUMMYFUNCTION("""COMPUTED_VALUE"""),"«1С: Управление торговлей 10.3.59»")</f>
        <v>«1С: Управление торговлей 10.3.59»</v>
      </c>
      <c r="B156" s="4" t="str">
        <f ca="1">IFERROR(__xludf.DUMMYFUNCTION("""COMPUTED_VALUE"""),"с ЕГАИС и МОТП, МЕГАМАРКЕТ")</f>
        <v>с ЕГАИС и МОТП, МЕГАМАРКЕТ</v>
      </c>
      <c r="C156" s="4" t="str">
        <f ca="1">IFERROR(__xludf.DUMMYFUNCTION("""COMPUTED_VALUE"""),"UP2-RTL15CET-1CUT103")</f>
        <v>UP2-RTL15CET-1CUT103</v>
      </c>
      <c r="D156" s="4" t="str">
        <f ca="1">IFERROR(__xludf.DUMMYFUNCTION("""COMPUTED_VALUE"""),"Переход на 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 "&amp;"доступные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переме"&amp;"щение,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6" s="4" t="str">
        <f ca="1">IFERROR(__xludf.DUMMYFUNCTION("""COMPUTED_VALUE"""),"Переход на 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</v>
      </c>
      <c r="F156" s="5">
        <f ca="1">IFERROR(__xludf.DUMMYFUNCTION("""COMPUTED_VALUE"""),13175)</f>
        <v>13175</v>
      </c>
    </row>
    <row r="157" spans="1:6" ht="44.25" customHeight="1" x14ac:dyDescent="0.2">
      <c r="A157" s="4" t="str">
        <f ca="1">IFERROR(__xludf.DUMMYFUNCTION("""COMPUTED_VALUE"""),"«1С: Управление торговлей 10.3.59»")</f>
        <v>«1С: Управление торговлей 10.3.59»</v>
      </c>
      <c r="B157" s="4" t="str">
        <f ca="1">IFERROR(__xludf.DUMMYFUNCTION("""COMPUTED_VALUE"""),"ШМОТКИ, БАЗОВЫЙ")</f>
        <v>ШМОТКИ, БАЗОВЫЙ</v>
      </c>
      <c r="C157" s="4" t="str">
        <f ca="1">IFERROR(__xludf.DUMMYFUNCTION("""COMPUTED_VALUE"""),"UP2-RTL15AK-1CUT103")</f>
        <v>UP2-RTL15AK-1CUT103</v>
      </c>
      <c r="D157" s="4" t="str">
        <f ca="1">IFERROR(__xludf.DUMMYFUNCTION("""COMPUTED_VALUE"""),"Переход на 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Ин"&amp;"тернет на 1 (один) год")</f>
        <v>Переход на 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7" s="4" t="str">
        <f ca="1">IFERROR(__xludf.DUMMYFUNCTION("""COMPUTED_VALUE"""),"Переход на 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</v>
      </c>
      <c r="F157" s="5">
        <f ca="1">IFERROR(__xludf.DUMMYFUNCTION("""COMPUTED_VALUE"""),6075)</f>
        <v>6075</v>
      </c>
    </row>
    <row r="158" spans="1:6" ht="44.25" customHeight="1" x14ac:dyDescent="0.2">
      <c r="A158" s="4" t="str">
        <f ca="1">IFERROR(__xludf.DUMMYFUNCTION("""COMPUTED_VALUE"""),"«1С: Управление торговлей 10.3.59»")</f>
        <v>«1С: Управление торговлей 10.3.59»</v>
      </c>
      <c r="B158" s="4" t="str">
        <f ca="1">IFERROR(__xludf.DUMMYFUNCTION("""COMPUTED_VALUE"""),"ШМОТКИ, РАСШИРЕННЫЙ")</f>
        <v>ШМОТКИ, РАСШИРЕННЫЙ</v>
      </c>
      <c r="C158" s="4" t="str">
        <f ca="1">IFERROR(__xludf.DUMMYFUNCTION("""COMPUTED_VALUE"""),"UP2-RTL15BK-1CUT103")</f>
        <v>UP2-RTL15BK-1CUT103</v>
      </c>
      <c r="D158" s="4" t="str">
        <f ca="1">IFERROR(__xludf.DUMMYFUNCTION("""COMPUTED_VALUE"""),"Переход на 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Переход на 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8" s="4" t="str">
        <f ca="1">IFERROR(__xludf.DUMMYFUNCTION("""COMPUTED_VALUE"""),"Переход на 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</v>
      </c>
      <c r="F158" s="5">
        <f ca="1">IFERROR(__xludf.DUMMYFUNCTION("""COMPUTED_VALUE"""),9275)</f>
        <v>9275</v>
      </c>
    </row>
    <row r="159" spans="1:6" ht="44.25" customHeight="1" x14ac:dyDescent="0.2">
      <c r="A159" s="4" t="str">
        <f ca="1">IFERROR(__xludf.DUMMYFUNCTION("""COMPUTED_VALUE"""),"«1С: Управление торговлей 10.3.59»")</f>
        <v>«1С: Управление торговлей 10.3.59»</v>
      </c>
      <c r="B159" s="4" t="str">
        <f ca="1">IFERROR(__xludf.DUMMYFUNCTION("""COMPUTED_VALUE"""),"ШМОТКИ, МЕГАМАРКЕТ")</f>
        <v>ШМОТКИ, МЕГАМАРКЕТ</v>
      </c>
      <c r="C159" s="4" t="str">
        <f ca="1">IFERROR(__xludf.DUMMYFUNCTION("""COMPUTED_VALUE"""),"UP2-RTL15CK-1CUT103")</f>
        <v>UP2-RTL15CK-1CUT103</v>
      </c>
      <c r="D159" s="4" t="str">
        <f ca="1">IFERROR(__xludf.DUMMYFUNCTION("""COMPUTED_VALUE"""),"Переход на 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Переход на 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9" s="4" t="str">
        <f ca="1">IFERROR(__xludf.DUMMYFUNCTION("""COMPUTED_VALUE"""),"Переход на 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</v>
      </c>
      <c r="F159" s="5">
        <f ca="1">IFERROR(__xludf.DUMMYFUNCTION("""COMPUTED_VALUE"""),13175)</f>
        <v>13175</v>
      </c>
    </row>
    <row r="160" spans="1:6" ht="44.25" customHeight="1" x14ac:dyDescent="0.2">
      <c r="A160" s="4" t="str">
        <f ca="1">IFERROR(__xludf.DUMMYFUNCTION("""COMPUTED_VALUE"""),"«1С: Управление торговлей 10.3.59»")</f>
        <v>«1С: Управление торговлей 10.3.59»</v>
      </c>
      <c r="B160" s="4" t="str">
        <f ca="1">IFERROR(__xludf.DUMMYFUNCTION("""COMPUTED_VALUE"""),"ПРОДУКТОВЫЙ, БАЗОВЫЙ")</f>
        <v>ПРОДУКТОВЫЙ, БАЗОВЫЙ</v>
      </c>
      <c r="C160" s="4" t="str">
        <f ca="1">IFERROR(__xludf.DUMMYFUNCTION("""COMPUTED_VALUE"""),"UP2-RTL15AG-1CUT103")</f>
        <v>UP2-RTL15AG-1CUT103</v>
      </c>
      <c r="D160" s="4" t="str">
        <f ca="1">IFERROR(__xludf.DUMMYFUNCTION("""COMPUTED_VALUE"""),"Переход на 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беспроводной"&amp;"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под"&amp;"бор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остатка"&amp;"х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0" s="4" t="str">
        <f ca="1">IFERROR(__xludf.DUMMYFUNCTION("""COMPUTED_VALUE"""),"Переход на 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</v>
      </c>
      <c r="F160" s="5">
        <f ca="1">IFERROR(__xludf.DUMMYFUNCTION("""COMPUTED_VALUE"""),7275)</f>
        <v>7275</v>
      </c>
    </row>
    <row r="161" spans="1:6" ht="44.25" customHeight="1" x14ac:dyDescent="0.2">
      <c r="A161" s="4" t="str">
        <f ca="1">IFERROR(__xludf.DUMMYFUNCTION("""COMPUTED_VALUE"""),"«1С: Управление торговлей 10.3.59»")</f>
        <v>«1С: Управление торговлей 10.3.59»</v>
      </c>
      <c r="B161" s="4" t="str">
        <f ca="1">IFERROR(__xludf.DUMMYFUNCTION("""COMPUTED_VALUE"""),"ПРОДУКТОВЫЙ, РАСШИРЕННЫЙ")</f>
        <v>ПРОДУКТОВЫЙ, РАСШИРЕННЫЙ</v>
      </c>
      <c r="C161" s="4" t="str">
        <f ca="1">IFERROR(__xludf.DUMMYFUNCTION("""COMPUTED_VALUE"""),"UP2-RTL15BG-1CUT103")</f>
        <v>UP2-RTL15BG-1CUT103</v>
      </c>
      <c r="D161" s="4" t="str">
        <f ca="1">IFERROR(__xludf.DUMMYFUNCTION("""COMPUTED_VALUE"""),"Переход на 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беспрово"&amp;"дной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возврат,"&amp;"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ост"&amp;"атках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1" s="4" t="str">
        <f ca="1">IFERROR(__xludf.DUMMYFUNCTION("""COMPUTED_VALUE"""),"Переход на 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</v>
      </c>
      <c r="F161" s="5">
        <f ca="1">IFERROR(__xludf.DUMMYFUNCTION("""COMPUTED_VALUE"""),10475)</f>
        <v>10475</v>
      </c>
    </row>
    <row r="162" spans="1:6" ht="44.25" customHeight="1" x14ac:dyDescent="0.2">
      <c r="A162" s="4" t="str">
        <f ca="1">IFERROR(__xludf.DUMMYFUNCTION("""COMPUTED_VALUE"""),"«1С: Управление торговлей 10.3.59»")</f>
        <v>«1С: Управление торговлей 10.3.59»</v>
      </c>
      <c r="B162" s="4" t="str">
        <f ca="1">IFERROR(__xludf.DUMMYFUNCTION("""COMPUTED_VALUE"""),"ПРОДУКТОВЫЙ, МЕГАМАРКЕТ")</f>
        <v>ПРОДУКТОВЫЙ, МЕГАМАРКЕТ</v>
      </c>
      <c r="C162" s="4" t="str">
        <f ca="1">IFERROR(__xludf.DUMMYFUNCTION("""COMPUTED_VALUE"""),"UP2-RTL15CG-1CUT103")</f>
        <v>UP2-RTL15CG-1CUT103</v>
      </c>
      <c r="D162" s="4" t="str">
        <f ca="1">IFERROR(__xludf.DUMMYFUNCTION("""COMPUTED_VALUE"""),"Переход на 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беспровод"&amp;"ной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"&amp;"подбор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склада"&amp;"х,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2" s="4" t="str">
        <f ca="1">IFERROR(__xludf.DUMMYFUNCTION("""COMPUTED_VALUE"""),"Переход на 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</v>
      </c>
      <c r="F162" s="5">
        <f ca="1">IFERROR(__xludf.DUMMYFUNCTION("""COMPUTED_VALUE"""),14125)</f>
        <v>14125</v>
      </c>
    </row>
    <row r="163" spans="1:6" ht="44.25" customHeight="1" x14ac:dyDescent="0.2">
      <c r="A163" s="4" t="str">
        <f ca="1">IFERROR(__xludf.DUMMYFUNCTION("""COMPUTED_VALUE"""),"«1С: Комплексная автоматизация 1.1»")</f>
        <v>«1С: Комплексная автоматизация 1.1»</v>
      </c>
      <c r="B163" s="4" t="str">
        <f ca="1">IFERROR(__xludf.DUMMYFUNCTION("""COMPUTED_VALUE"""),"МИНИМУМ")</f>
        <v>МИНИМУМ</v>
      </c>
      <c r="C163" s="4" t="str">
        <f ca="1">IFERROR(__xludf.DUMMYFUNCTION("""COMPUTED_VALUE"""),"UP2-RTL15M-1CKA11")</f>
        <v>UP2-RTL15M-1CKA11</v>
      </c>
      <c r="D163" s="4" t="str">
        <f ca="1">IFERROR(__xludf.DUMMYFUNCTION("""COMPUTED_VALUE"""),"Переход на Mobile SMARTS: Магазин 15, МИНИМУМ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прос"&amp;"мотр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Переход на Mobile SMARTS: Магазин 15, МИНИМУМ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63" s="4" t="str">
        <f ca="1">IFERROR(__xludf.DUMMYFUNCTION("""COMPUTED_VALUE"""),"Переход на Mobile SMARTS: Магазин 15, МИНИМУМ для «1С: Комплексная автоматизация 1.1», для работы с товаром по штрихкодам ")</f>
        <v xml:space="preserve">Переход на Mobile SMARTS: Магазин 15, МИНИМУМ для «1С: Комплексная автоматизация 1.1», для работы с товаром по штрихкодам </v>
      </c>
      <c r="F163" s="5">
        <f ca="1">IFERROR(__xludf.DUMMYFUNCTION("""COMPUTED_VALUE"""),1725)</f>
        <v>1725</v>
      </c>
    </row>
    <row r="164" spans="1:6" ht="44.25" customHeight="1" x14ac:dyDescent="0.2">
      <c r="A164" s="4" t="str">
        <f ca="1">IFERROR(__xludf.DUMMYFUNCTION("""COMPUTED_VALUE"""),"«1С: Комплексная автоматизация 1.1»")</f>
        <v>«1С: Комплексная автоматизация 1.1»</v>
      </c>
      <c r="B164" s="4" t="str">
        <f ca="1">IFERROR(__xludf.DUMMYFUNCTION("""COMPUTED_VALUE"""),"БАЗОВЫЙ")</f>
        <v>БАЗОВЫЙ</v>
      </c>
      <c r="C164" s="4" t="str">
        <f ca="1">IFERROR(__xludf.DUMMYFUNCTION("""COMPUTED_VALUE"""),"UP2-RTL15A-1CKA11")</f>
        <v>UP2-RTL15A-1CKA11</v>
      </c>
      <c r="D164" s="4" t="str">
        <f ca="1">IFERROR(__xludf.DUMMYFUNCTION("""COMPUTED_VALUE"""),"Переход на Mobile SMARTS: Магазин 15, БАЗОВЫЙ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4" s="4" t="str">
        <f ca="1">IFERROR(__xludf.DUMMYFUNCTION("""COMPUTED_VALUE"""),"Переход на Mobile SMARTS: Магазин 15, БАЗОВЫЙ для «1С: Комплексная автоматизация 1.1», для работы с товаром по штрихкодам ")</f>
        <v xml:space="preserve">Переход на Mobile SMARTS: Магазин 15, БАЗОВЫЙ для «1С: Комплексная автоматизация 1.1», для работы с товаром по штрихкодам </v>
      </c>
      <c r="F164" s="5">
        <f ca="1">IFERROR(__xludf.DUMMYFUNCTION("""COMPUTED_VALUE"""),4325)</f>
        <v>4325</v>
      </c>
    </row>
    <row r="165" spans="1:6" ht="44.25" customHeight="1" x14ac:dyDescent="0.2">
      <c r="A165" s="4" t="str">
        <f ca="1">IFERROR(__xludf.DUMMYFUNCTION("""COMPUTED_VALUE"""),"«1С: Комплексная автоматизация 1.1»")</f>
        <v>«1С: Комплексная автоматизация 1.1»</v>
      </c>
      <c r="B165" s="4" t="str">
        <f ca="1">IFERROR(__xludf.DUMMYFUNCTION("""COMPUTED_VALUE"""),"РАСШИРЕННЫЙ")</f>
        <v>РАСШИРЕННЫЙ</v>
      </c>
      <c r="C165" s="4" t="str">
        <f ca="1">IFERROR(__xludf.DUMMYFUNCTION("""COMPUTED_VALUE"""),"UP2-RTL15B-1CKA11")</f>
        <v>UP2-RTL15B-1CKA11</v>
      </c>
      <c r="D165" s="4" t="str">
        <f ca="1">IFERROR(__xludf.DUMMYFUNCTION("""COMPUTED_VALUE"""),"Переход на Mobile SMARTS: Магазин 15, РАСШИРЕННЫЙ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5" s="4" t="str">
        <f ca="1">IFERROR(__xludf.DUMMYFUNCTION("""COMPUTED_VALUE"""),"Переход на Mobile SMARTS: Магазин 15, РАСШИРЕННЫЙ для «1С: Комплексная автоматизация 1.1», для работы с товаром по штрихкодам ")</f>
        <v xml:space="preserve">Переход на Mobile SMARTS: Магазин 15, РАСШИРЕННЫЙ для «1С: Комплексная автоматизация 1.1», для работы с товаром по штрихкодам </v>
      </c>
      <c r="F165" s="5">
        <f ca="1">IFERROR(__xludf.DUMMYFUNCTION("""COMPUTED_VALUE"""),7525)</f>
        <v>7525</v>
      </c>
    </row>
    <row r="166" spans="1:6" ht="44.25" customHeight="1" x14ac:dyDescent="0.2">
      <c r="A166" s="4" t="str">
        <f ca="1">IFERROR(__xludf.DUMMYFUNCTION("""COMPUTED_VALUE"""),"«1С: Комплексная автоматизация 1.1»")</f>
        <v>«1С: Комплексная автоматизация 1.1»</v>
      </c>
      <c r="B166" s="4" t="str">
        <f ca="1">IFERROR(__xludf.DUMMYFUNCTION("""COMPUTED_VALUE"""),"МЕГАМАРКЕТ")</f>
        <v>МЕГАМАРКЕТ</v>
      </c>
      <c r="C166" s="4" t="str">
        <f ca="1">IFERROR(__xludf.DUMMYFUNCTION("""COMPUTED_VALUE"""),"UP2-RTL15C-1CKA11")</f>
        <v>UP2-RTL15C-1CKA11</v>
      </c>
      <c r="D166" s="4" t="str">
        <f ca="1">IFERROR(__xludf.DUMMYFUNCTION("""COMPUTED_VALUE"""),"Переход на Mobile SMARTS: Магазин 15, МЕГАМАРКЕТ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6" s="4" t="str">
        <f ca="1">IFERROR(__xludf.DUMMYFUNCTION("""COMPUTED_VALUE"""),"Переход на Mobile SMARTS: Магазин 15, МЕГАМАРКЕТ для «1С: Комплексная автоматизация 1.1», для работы с товаром по штрихкодам ")</f>
        <v xml:space="preserve">Переход на Mobile SMARTS: Магазин 15, МЕГАМАРКЕТ для «1С: Комплексная автоматизация 1.1», для работы с товаром по штрихкодам </v>
      </c>
      <c r="F166" s="5">
        <f ca="1">IFERROR(__xludf.DUMMYFUNCTION("""COMPUTED_VALUE"""),10775)</f>
        <v>10775</v>
      </c>
    </row>
    <row r="167" spans="1:6" ht="44.25" customHeight="1" x14ac:dyDescent="0.2">
      <c r="A167" s="4" t="str">
        <f ca="1">IFERROR(__xludf.DUMMYFUNCTION("""COMPUTED_VALUE"""),"«1С: Комплексная автоматизация 1.1»")</f>
        <v>«1С: Комплексная автоматизация 1.1»</v>
      </c>
      <c r="B167" s="4" t="str">
        <f ca="1">IFERROR(__xludf.DUMMYFUNCTION("""COMPUTED_VALUE"""),"с ЕГАИС, БАЗОВЫЙ")</f>
        <v>с ЕГАИС, БАЗОВЫЙ</v>
      </c>
      <c r="C167" s="4" t="str">
        <f ca="1">IFERROR(__xludf.DUMMYFUNCTION("""COMPUTED_VALUE"""),"UP2-RTL15AE-1CKA11")</f>
        <v>UP2-RTL15AE-1CKA11</v>
      </c>
      <c r="D167" s="4" t="str">
        <f ca="1">IFERROR(__xludf.DUMMYFUNCTION("""COMPUTED_VALUE"""),"Переход на 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пров"&amp;"одной,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"&amp;"справочников,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ус"&amp;"тройство, подписка на обновления и обмен через Интернет на 1 (один) год")</f>
        <v>Переход на 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67" s="4" t="str">
        <f ca="1">IFERROR(__xludf.DUMMYFUNCTION("""COMPUTED_VALUE"""),"Переход на 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67" s="5">
        <f ca="1">IFERROR(__xludf.DUMMYFUNCTION("""COMPUTED_VALUE"""),6500)</f>
        <v>6500</v>
      </c>
    </row>
    <row r="168" spans="1:6" ht="44.25" customHeight="1" x14ac:dyDescent="0.2">
      <c r="A168" s="4" t="str">
        <f ca="1">IFERROR(__xludf.DUMMYFUNCTION("""COMPUTED_VALUE"""),"«1С: Комплексная автоматизация 1.1»")</f>
        <v>«1С: Комплексная автоматизация 1.1»</v>
      </c>
      <c r="B168" s="4" t="str">
        <f ca="1">IFERROR(__xludf.DUMMYFUNCTION("""COMPUTED_VALUE"""),"с ЕГАИС, РАСШИРЕННЫЙ")</f>
        <v>с ЕГАИС, РАСШИРЕННЫЙ</v>
      </c>
      <c r="C168" s="4" t="str">
        <f ca="1">IFERROR(__xludf.DUMMYFUNCTION("""COMPUTED_VALUE"""),"UP2-RTL15BE-1CKA11")</f>
        <v>UP2-RTL15BE-1CKA11</v>
      </c>
      <c r="D168" s="4" t="str">
        <f ca="1">IFERROR(__xludf.DUMMYFUNCTION("""COMPUTED_VALUE"""),"Переход на 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"&amp;"проводной,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просм"&amp;"отр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"&amp;"подписка на обновления и обмен через Интернет на 1 (один) год")</f>
        <v>Переход на 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8" s="4" t="str">
        <f ca="1">IFERROR(__xludf.DUMMYFUNCTION("""COMPUTED_VALUE"""),"Переход на 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68" s="5">
        <f ca="1">IFERROR(__xludf.DUMMYFUNCTION("""COMPUTED_VALUE"""),9725)</f>
        <v>9725</v>
      </c>
    </row>
    <row r="169" spans="1:6" ht="44.25" customHeight="1" x14ac:dyDescent="0.2">
      <c r="A169" s="4" t="str">
        <f ca="1">IFERROR(__xludf.DUMMYFUNCTION("""COMPUTED_VALUE"""),"«1С: Комплексная автоматизация 1.1»")</f>
        <v>«1С: Комплексная автоматизация 1.1»</v>
      </c>
      <c r="B169" s="4" t="str">
        <f ca="1">IFERROR(__xludf.DUMMYFUNCTION("""COMPUTED_VALUE"""),"с ЕГАИС (без CheckMark2), МЕГАМАРКЕТ")</f>
        <v>с ЕГАИС (без CheckMark2), МЕГАМАРКЕТ</v>
      </c>
      <c r="C169" s="4" t="str">
        <f ca="1">IFERROR(__xludf.DUMMYFUNCTION("""COMPUTED_VALUE"""),"UP2-RTL15CEV-1CKA11")</f>
        <v>UP2-RTL15CEV-1CKA11</v>
      </c>
      <c r="D169" s="4" t="str">
        <f ca="1">IFERROR(__xludf.DUMMYFUNCTION("""COMPUTED_VALUE"""),"Переход на 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штрихк"&amp;"одам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ш"&amp;"трихкодов,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опера"&amp;"ции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9" s="4" t="str">
        <f ca="1">IFERROR(__xludf.DUMMYFUNCTION("""COMPUTED_VALUE"""),"Переход на 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штрихк"&amp;"одам ")</f>
        <v xml:space="preserve">Переход на 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69" s="5">
        <f ca="1">IFERROR(__xludf.DUMMYFUNCTION("""COMPUTED_VALUE"""),12925)</f>
        <v>12925</v>
      </c>
    </row>
    <row r="170" spans="1:6" ht="44.25" customHeight="1" x14ac:dyDescent="0.2">
      <c r="A170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0" s="4" t="str">
        <f ca="1">IFERROR(__xludf.DUMMYFUNCTION("""COMPUTED_VALUE"""),"МИНИМУМ")</f>
        <v>МИНИМУМ</v>
      </c>
      <c r="C170" s="4" t="str">
        <f ca="1">IFERROR(__xludf.DUMMYFUNCTION("""COMPUTED_VALUE"""),"UP2-RTL15M-1CUPP13")</f>
        <v>UP2-RTL15M-1CUPP13</v>
      </c>
      <c r="D170" s="4" t="str">
        <f ca="1">IFERROR(__xludf.DUMMYFUNCTION("""COMPUTED_VALUE"""),"Переход на Mobile SMARTS: Магазин 15, МИНИМУМ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сбор ш"&amp;"трихкодов,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"&amp;"обновления и обмен через Интернет на 1 (один) год")</f>
        <v>Переход на Mobile SMARTS: Магазин 15, МИНИМУМ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70" s="4" t="str">
        <f ca="1">IFERROR(__xludf.DUMMYFUNCTION("""COMPUTED_VALUE"""),"Переход на Mobile SMARTS: Магазин 15, МИНИМУМ для «1С: Управление производственным предприятием 1.3» (Обычные формы), для работы с товаром по штрихкодам ")</f>
        <v xml:space="preserve">Переход на Mobile SMARTS: Магазин 15, МИНИМУМ для «1С: Управление производственным предприятием 1.3» (Обычные формы), для работы с товаром по штрихкодам </v>
      </c>
      <c r="F170" s="5">
        <f ca="1">IFERROR(__xludf.DUMMYFUNCTION("""COMPUTED_VALUE"""),1725)</f>
        <v>1725</v>
      </c>
    </row>
    <row r="171" spans="1:6" ht="44.25" customHeight="1" x14ac:dyDescent="0.2">
      <c r="A171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1" s="4" t="str">
        <f ca="1">IFERROR(__xludf.DUMMYFUNCTION("""COMPUTED_VALUE"""),"БАЗОВЫЙ")</f>
        <v>БАЗОВЫЙ</v>
      </c>
      <c r="C171" s="4" t="str">
        <f ca="1">IFERROR(__xludf.DUMMYFUNCTION("""COMPUTED_VALUE"""),"UP2-RTL15A-1CUPP13")</f>
        <v>UP2-RTL15A-1CUPP13</v>
      </c>
      <c r="D171" s="4" t="str">
        <f ca="1">IFERROR(__xludf.DUMMYFUNCTION("""COMPUTED_VALUE"""),"Переход на Mobile SMARTS: Магазин 15, БАЗОВЫЙ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поступ"&amp;"ление,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остат"&amp;"ках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1" s="4" t="str">
        <f ca="1">IFERROR(__xludf.DUMMYFUNCTION("""COMPUTED_VALUE"""),"Переход на Mobile SMARTS: Магазин 15, БАЗОВЫЙ для «1С: Управление производственным предприятием 1.3» (Обычные формы), для работы с товаром по штрихкодам ")</f>
        <v xml:space="preserve">Переход на Mobile SMARTS: Магазин 15, БАЗОВЫЙ для «1С: Управление производственным предприятием 1.3» (Обычные формы), для работы с товаром по штрихкодам </v>
      </c>
      <c r="F171" s="5">
        <f ca="1">IFERROR(__xludf.DUMMYFUNCTION("""COMPUTED_VALUE"""),4325)</f>
        <v>4325</v>
      </c>
    </row>
    <row r="172" spans="1:6" ht="44.25" customHeight="1" x14ac:dyDescent="0.2">
      <c r="A172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2" s="4" t="str">
        <f ca="1">IFERROR(__xludf.DUMMYFUNCTION("""COMPUTED_VALUE"""),"РАСШИРЕННЫЙ")</f>
        <v>РАСШИРЕННЫЙ</v>
      </c>
      <c r="C172" s="4" t="str">
        <f ca="1">IFERROR(__xludf.DUMMYFUNCTION("""COMPUTED_VALUE"""),"UP2-RTL15B-1CUPP13")</f>
        <v>UP2-RTL15B-1CUPP13</v>
      </c>
      <c r="D172" s="4" t="str">
        <f ca="1">IFERROR(__xludf.DUMMYFUNCTION("""COMPUTED_VALUE"""),"Переход на Mobile SMARTS: Магазин 15, РАСШИРЕННЫЙ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по"&amp;"ступление,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о"&amp;"статках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2" s="4" t="str">
        <f ca="1">IFERROR(__xludf.DUMMYFUNCTION("""COMPUTED_VALUE"""),"Переход на Mobile SMARTS: Магазин 15, РАСШИРЕННЫЙ для «1С: Управление производственным предприятием 1.3» (Обычные формы), для работы с товаром по штрихкодам ")</f>
        <v xml:space="preserve">Переход на Mobile SMARTS: Магазин 15, РАСШИРЕННЫЙ для «1С: Управление производственным предприятием 1.3» (Обычные формы), для работы с товаром по штрихкодам </v>
      </c>
      <c r="F172" s="5">
        <f ca="1">IFERROR(__xludf.DUMMYFUNCTION("""COMPUTED_VALUE"""),7525)</f>
        <v>7525</v>
      </c>
    </row>
    <row r="173" spans="1:6" ht="44.25" customHeight="1" x14ac:dyDescent="0.2">
      <c r="A173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3" s="4" t="str">
        <f ca="1">IFERROR(__xludf.DUMMYFUNCTION("""COMPUTED_VALUE"""),"МЕГАМАРКЕТ")</f>
        <v>МЕГАМАРКЕТ</v>
      </c>
      <c r="C173" s="4" t="str">
        <f ca="1">IFERROR(__xludf.DUMMYFUNCTION("""COMPUTED_VALUE"""),"UP2-RTL15C-1CUPP13")</f>
        <v>UP2-RTL15C-1CUPP13</v>
      </c>
      <c r="D173" s="4" t="str">
        <f ca="1">IFERROR(__xludf.DUMMYFUNCTION("""COMPUTED_VALUE"""),"Переход на Mobile SMARTS: Магазин 15, МЕГАМАРКЕТ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пос"&amp;"тупление,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3" s="4" t="str">
        <f ca="1">IFERROR(__xludf.DUMMYFUNCTION("""COMPUTED_VALUE"""),"Переход на Mobile SMARTS: Магазин 15, МЕГАМАРКЕТ для «1С: Управление производственным предприятием 1.3» (Обычные формы), для работы с товаром по штрихкодам ")</f>
        <v xml:space="preserve">Переход на Mobile SMARTS: Магазин 15, МЕГАМАРКЕТ для «1С: Управление производственным предприятием 1.3» (Обычные формы), для работы с товаром по штрихкодам </v>
      </c>
      <c r="F173" s="5">
        <f ca="1">IFERROR(__xludf.DUMMYFUNCTION("""COMPUTED_VALUE"""),10775)</f>
        <v>10775</v>
      </c>
    </row>
    <row r="174" spans="1:6" ht="44.25" customHeight="1" x14ac:dyDescent="0.2">
      <c r="A174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4" s="4" t="str">
        <f ca="1">IFERROR(__xludf.DUMMYFUNCTION("""COMPUTED_VALUE"""),"с ЕГАИС, БАЗОВЫЙ")</f>
        <v>с ЕГАИС, БАЗОВЫЙ</v>
      </c>
      <c r="C174" s="4" t="str">
        <f ca="1">IFERROR(__xludf.DUMMYFUNCTION("""COMPUTED_VALUE"""),"UP2-RTL15AE-1CUPP13")</f>
        <v>UP2-RTL15AE-1CUPP13</v>
      </c>
      <c r="D174" s="4" t="str">
        <f ca="1">IFERROR(__xludf.DUMMYFUNCTION("""COMPUTED_VALUE"""),"Переход на 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товар"&amp;"ы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инвентариза"&amp;"ция,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бессрочн"&amp;"ая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74" s="4" t="str">
        <f ca="1">IFERROR(__xludf.DUMMYFUNCTION("""COMPUTED_VALUE"""),"Переход на 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товар"&amp;"ы по штрихкодам ")</f>
        <v xml:space="preserve">Переход на 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74" s="5">
        <f ca="1">IFERROR(__xludf.DUMMYFUNCTION("""COMPUTED_VALUE"""),6500)</f>
        <v>6500</v>
      </c>
    </row>
    <row r="175" spans="1:6" ht="44.25" customHeight="1" x14ac:dyDescent="0.2">
      <c r="A175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5" s="4" t="str">
        <f ca="1">IFERROR(__xludf.DUMMYFUNCTION("""COMPUTED_VALUE"""),"с ЕГАИС, РАСШИРЕННЫЙ")</f>
        <v>с ЕГАИС, РАСШИРЕННЫЙ</v>
      </c>
      <c r="C175" s="4" t="str">
        <f ca="1">IFERROR(__xludf.DUMMYFUNCTION("""COMPUTED_VALUE"""),"UP2-RTL15BE-1CUPP13")</f>
        <v>UP2-RTL15BE-1CUPP13</v>
      </c>
      <c r="D175" s="4" t="str">
        <f ca="1">IFERROR(__xludf.DUMMYFUNCTION("""COMPUTED_VALUE"""),"Переход на 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т"&amp;"овары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инвента"&amp;"ризация,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лицензи"&amp;"я на 1 (одно) моб. устройство, подписка на обновления и обмен через Интернет на 1 (один) год")</f>
        <v>Переход на 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5" s="4" t="str">
        <f ca="1">IFERROR(__xludf.DUMMYFUNCTION("""COMPUTED_VALUE"""),"Переход на 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т"&amp;"овары по штрихкодам ")</f>
        <v xml:space="preserve">Переход на 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75" s="5">
        <f ca="1">IFERROR(__xludf.DUMMYFUNCTION("""COMPUTED_VALUE"""),9725)</f>
        <v>9725</v>
      </c>
    </row>
    <row r="176" spans="1:6" ht="44.25" customHeight="1" x14ac:dyDescent="0.2">
      <c r="A176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6" s="4" t="str">
        <f ca="1">IFERROR(__xludf.DUMMYFUNCTION("""COMPUTED_VALUE"""),"с ЕГАИС (без CheckMark2), МЕГАМАРКЕТ")</f>
        <v>с ЕГАИС (без CheckMark2), МЕГАМАРКЕТ</v>
      </c>
      <c r="C176" s="4" t="str">
        <f ca="1">IFERROR(__xludf.DUMMYFUNCTION("""COMPUTED_VALUE"""),"UP2-RTL15CEV-1CUPP13")</f>
        <v>UP2-RTL15CEV-1CUPP13</v>
      </c>
      <c r="D176" s="4" t="str">
        <f ca="1">IFERROR(__xludf.DUMMYFUNCTION("""COMPUTED_VALUE"""),"Переход на 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ал"&amp;"коголь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пер"&amp;"еоценка,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в"&amp;"озможность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6" s="4" t="str">
        <f ca="1">IFERROR(__xludf.DUMMYFUNCTION("""COMPUTED_VALUE"""),"Переход на 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ал"&amp;"коголь ЕГАИС и товары по штрихкодам ")</f>
        <v xml:space="preserve">Переход на 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76" s="5">
        <f ca="1">IFERROR(__xludf.DUMMYFUNCTION("""COMPUTED_VALUE"""),12925)</f>
        <v>12925</v>
      </c>
    </row>
    <row r="177" spans="1:6" ht="44.25" customHeight="1" x14ac:dyDescent="0.2">
      <c r="A177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77" s="4" t="str">
        <f ca="1">IFERROR(__xludf.DUMMYFUNCTION("""COMPUTED_VALUE"""),"с МОТП, БАЗОВЫЙ")</f>
        <v>с МОТП, БАЗОВЫЙ</v>
      </c>
      <c r="C177" s="4" t="str">
        <f ca="1">IFERROR(__xludf.DUMMYFUNCTION("""COMPUTED_VALUE"""),"UP2-RTL15AT-1CUPP13")</f>
        <v>UP2-RTL15AT-1CUPP13</v>
      </c>
      <c r="D177" s="4" t="str">
        <f ca="1">IFERROR(__xludf.DUMMYFUNCTION("""COMPUTED_VALUE"""),"Переход на 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/"&amp;"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настройк"&amp;"и,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Переход на 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7" s="4" t="str">
        <f ca="1">IFERROR(__xludf.DUMMYFUNCTION("""COMPUTED_VALUE"""),"Переход на 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")</f>
        <v xml:space="preserve">Переход на 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</v>
      </c>
      <c r="F177" s="5">
        <f ca="1">IFERROR(__xludf.DUMMYFUNCTION("""COMPUTED_VALUE"""),5575)</f>
        <v>5575</v>
      </c>
    </row>
    <row r="178" spans="1:6" ht="44.25" customHeight="1" x14ac:dyDescent="0.2">
      <c r="A178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78" s="4" t="str">
        <f ca="1">IFERROR(__xludf.DUMMYFUNCTION("""COMPUTED_VALUE"""),"с МОТП, РАСШИРЕННЫЙ")</f>
        <v>с МОТП, РАСШИРЕННЫЙ</v>
      </c>
      <c r="C178" s="4" t="str">
        <f ca="1">IFERROR(__xludf.DUMMYFUNCTION("""COMPUTED_VALUE"""),"UP2-RTL15BT-1CUPP13")</f>
        <v>UP2-RTL15BT-1CUPP13</v>
      </c>
      <c r="D178" s="4" t="str">
        <f ca="1">IFERROR(__xludf.DUMMYFUNCTION("""COMPUTED_VALUE"""),"Переход на 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Интерн"&amp;"ет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наст"&amp;"ройки,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обновлени"&amp;"я и обмен через Интернет на 1 (один) год")</f>
        <v>Переход на 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8" s="4" t="str">
        <f ca="1">IFERROR(__xludf.DUMMYFUNCTION("""COMPUTED_VALUE"""),"Переход на 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")</f>
        <v xml:space="preserve">Переход на 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</v>
      </c>
      <c r="F178" s="5">
        <f ca="1">IFERROR(__xludf.DUMMYFUNCTION("""COMPUTED_VALUE"""),8725)</f>
        <v>8725</v>
      </c>
    </row>
    <row r="179" spans="1:6" ht="44.25" customHeight="1" x14ac:dyDescent="0.2">
      <c r="A179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79" s="4" t="str">
        <f ca="1">IFERROR(__xludf.DUMMYFUNCTION("""COMPUTED_VALUE"""),"с МОТП, МЕГАМАРКЕТ")</f>
        <v>с МОТП, МЕГАМАРКЕТ</v>
      </c>
      <c r="C179" s="4" t="str">
        <f ca="1">IFERROR(__xludf.DUMMYFUNCTION("""COMPUTED_VALUE"""),"UP2-RTL15CT-1CUPP13")</f>
        <v>UP2-RTL15CT-1CUPP13</v>
      </c>
      <c r="D179" s="4" t="str">
        <f ca="1">IFERROR(__xludf.DUMMYFUNCTION("""COMPUTED_VALUE"""),"Переход на 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Интерне"&amp;"т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настр"&amp;"ойки,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п"&amp;"одписка на обновления и обмен через Интернет на 1 (один) год")</f>
        <v>Переход на 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9" s="4" t="str">
        <f ca="1">IFERROR(__xludf.DUMMYFUNCTION("""COMPUTED_VALUE"""),"Переход на 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")</f>
        <v xml:space="preserve">Переход на 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</v>
      </c>
      <c r="F179" s="5">
        <f ca="1">IFERROR(__xludf.DUMMYFUNCTION("""COMPUTED_VALUE"""),11925)</f>
        <v>11925</v>
      </c>
    </row>
    <row r="180" spans="1:6" ht="44.25" customHeight="1" x14ac:dyDescent="0.2">
      <c r="A180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0" s="4" t="str">
        <f ca="1">IFERROR(__xludf.DUMMYFUNCTION("""COMPUTED_VALUE"""),"с ЕГАИС и МОТП, БАЗОВЫЙ")</f>
        <v>с ЕГАИС и МОТП, БАЗОВЫЙ</v>
      </c>
      <c r="C180" s="4" t="str">
        <f ca="1">IFERROR(__xludf.DUMMYFUNCTION("""COMPUTED_VALUE"""),"UP2-RTL15AET-1CUPP13")</f>
        <v>UP2-RTL15AET-1CUPP13</v>
      </c>
      <c r="D180" s="4" t="str">
        <f ca="1">IFERROR(__xludf.DUMMYFUNCTION("""COMPUTED_VALUE"""),"Переход на 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обме"&amp;"н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заказ"&amp;"а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0" s="4" t="str">
        <f ca="1">IFERROR(__xludf.DUMMYFUNCTION("""COMPUTED_VALUE"""),"Переход на 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</v>
      </c>
      <c r="F180" s="5">
        <f ca="1">IFERROR(__xludf.DUMMYFUNCTION("""COMPUTED_VALUE"""),6075)</f>
        <v>6075</v>
      </c>
    </row>
    <row r="181" spans="1:6" ht="44.25" customHeight="1" x14ac:dyDescent="0.2">
      <c r="A181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1" s="4" t="str">
        <f ca="1">IFERROR(__xludf.DUMMYFUNCTION("""COMPUTED_VALUE"""),"с ЕГАИС и МОТП, РАСШИРЕННЫЙ")</f>
        <v>с ЕГАИС и МОТП, РАСШИРЕННЫЙ</v>
      </c>
      <c r="C181" s="4" t="str">
        <f ca="1">IFERROR(__xludf.DUMMYFUNCTION("""COMPUTED_VALUE"""),"UP2-RTL15BET-1CUPP13")</f>
        <v>UP2-RTL15BET-1CUPP13</v>
      </c>
      <c r="D181" s="4" t="str">
        <f ca="1">IFERROR(__xludf.DUMMYFUNCTION("""COMPUTED_VALUE"""),"Переход на 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"&amp;"обмен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з"&amp;"аказа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1" s="4" t="str">
        <f ca="1">IFERROR(__xludf.DUMMYFUNCTION("""COMPUTED_VALUE"""),"Переход на 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</v>
      </c>
      <c r="F181" s="5">
        <f ca="1">IFERROR(__xludf.DUMMYFUNCTION("""COMPUTED_VALUE"""),9275)</f>
        <v>9275</v>
      </c>
    </row>
    <row r="182" spans="1:6" ht="44.25" customHeight="1" x14ac:dyDescent="0.2">
      <c r="A182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2" s="4" t="str">
        <f ca="1">IFERROR(__xludf.DUMMYFUNCTION("""COMPUTED_VALUE"""),"с ЕГАИС и МОТП, МЕГАМАРКЕТ")</f>
        <v>с ЕГАИС и МОТП, МЕГАМАРКЕТ</v>
      </c>
      <c r="C182" s="4" t="str">
        <f ca="1">IFERROR(__xludf.DUMMYFUNCTION("""COMPUTED_VALUE"""),"UP2-RTL15CET-1CUPP13")</f>
        <v>UP2-RTL15CET-1CUPP13</v>
      </c>
      <c r="D182" s="4" t="str">
        <f ca="1">IFERROR(__xludf.DUMMYFUNCTION("""COMPUTED_VALUE"""),"Переход на 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о"&amp;"бмен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за"&amp;"каза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контра"&amp;"гентах,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2" s="4" t="str">
        <f ca="1">IFERROR(__xludf.DUMMYFUNCTION("""COMPUTED_VALUE"""),"Переход на 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</v>
      </c>
      <c r="F182" s="5">
        <f ca="1">IFERROR(__xludf.DUMMYFUNCTION("""COMPUTED_VALUE"""),13175)</f>
        <v>13175</v>
      </c>
    </row>
    <row r="183" spans="1:6" ht="44.25" customHeight="1" x14ac:dyDescent="0.2">
      <c r="A183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3" s="4" t="str">
        <f ca="1">IFERROR(__xludf.DUMMYFUNCTION("""COMPUTED_VALUE"""),"ШМОТКИ, БАЗОВЫЙ")</f>
        <v>ШМОТКИ, БАЗОВЫЙ</v>
      </c>
      <c r="C183" s="4" t="str">
        <f ca="1">IFERROR(__xludf.DUMMYFUNCTION("""COMPUTED_VALUE"""),"UP2-RTL15AK-1CUPP13")</f>
        <v>UP2-RTL15AK-1CUPP13</v>
      </c>
      <c r="D183" s="4" t="str">
        <f ca="1">IFERROR(__xludf.DUMMYFUNCTION("""COMPUTED_VALUE"""),"Переход на 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"&amp;"обмен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"&amp;"справочников,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под"&amp;"писка на обновления и обмен через Интернет на 1 (один) год")</f>
        <v>Переход на 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3" s="4" t="str">
        <f ca="1">IFERROR(__xludf.DUMMYFUNCTION("""COMPUTED_VALUE"""),"Переход на 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</v>
      </c>
      <c r="F183" s="5">
        <f ca="1">IFERROR(__xludf.DUMMYFUNCTION("""COMPUTED_VALUE"""),6075)</f>
        <v>6075</v>
      </c>
    </row>
    <row r="184" spans="1:6" ht="44.25" customHeight="1" x14ac:dyDescent="0.2">
      <c r="A184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4" s="4" t="str">
        <f ca="1">IFERROR(__xludf.DUMMYFUNCTION("""COMPUTED_VALUE"""),"ШМОТКИ, РАСШИРЕННЫЙ")</f>
        <v>ШМОТКИ, РАСШИРЕННЫЙ</v>
      </c>
      <c r="C184" s="4" t="str">
        <f ca="1">IFERROR(__xludf.DUMMYFUNCTION("""COMPUTED_VALUE"""),"UP2-RTL15BK-1CUPP13")</f>
        <v>UP2-RTL15BK-1CUPP13</v>
      </c>
      <c r="D184" s="4" t="str">
        <f ca="1">IFERROR(__xludf.DUMMYFUNCTION("""COMPUTED_VALUE"""),"Переход на 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"&amp;"или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просм"&amp;"отр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устройство,"&amp;" подписка на обновления и обмен через Интернет на 1 (один) год")</f>
        <v>Переход на 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4" s="4" t="str">
        <f ca="1">IFERROR(__xludf.DUMMYFUNCTION("""COMPUTED_VALUE"""),"Переход на 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</v>
      </c>
      <c r="F184" s="5">
        <f ca="1">IFERROR(__xludf.DUMMYFUNCTION("""COMPUTED_VALUE"""),9275)</f>
        <v>9275</v>
      </c>
    </row>
    <row r="185" spans="1:6" ht="44.25" customHeight="1" x14ac:dyDescent="0.2">
      <c r="A185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5" s="4" t="str">
        <f ca="1">IFERROR(__xludf.DUMMYFUNCTION("""COMPUTED_VALUE"""),"ШМОТКИ, МЕГАМАРКЕТ")</f>
        <v>ШМОТКИ, МЕГАМАРКЕТ</v>
      </c>
      <c r="C185" s="4" t="str">
        <f ca="1">IFERROR(__xludf.DUMMYFUNCTION("""COMPUTED_VALUE"""),"UP2-RTL15CK-1CUPP13")</f>
        <v>UP2-RTL15CK-1CUPP13</v>
      </c>
      <c r="D185" s="4" t="str">
        <f ca="1">IFERROR(__xludf.DUMMYFUNCTION("""COMPUTED_VALUE"""),"Переход на 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и"&amp;"ли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просмо"&amp;"тр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(од"&amp;"но) моб. устройство, подписка на обновления и обмен через Интернет на 1 (один) год")</f>
        <v>Переход на 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5" s="4" t="str">
        <f ca="1">IFERROR(__xludf.DUMMYFUNCTION("""COMPUTED_VALUE"""),"Переход на 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</v>
      </c>
      <c r="F185" s="5">
        <f ca="1">IFERROR(__xludf.DUMMYFUNCTION("""COMPUTED_VALUE"""),13175)</f>
        <v>13175</v>
      </c>
    </row>
    <row r="186" spans="1:6" ht="44.25" customHeight="1" x14ac:dyDescent="0.2">
      <c r="A186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6" s="4" t="str">
        <f ca="1">IFERROR(__xludf.DUMMYFUNCTION("""COMPUTED_VALUE"""),"ПРОДУКТОВЫЙ, БАЗОВЫЙ")</f>
        <v>ПРОДУКТОВЫЙ, БАЗОВЫЙ</v>
      </c>
      <c r="C186" s="4" t="str">
        <f ca="1">IFERROR(__xludf.DUMMYFUNCTION("""COMPUTED_VALUE"""),"UP2-RTL15AG-1CUPP13")</f>
        <v>UP2-RTL15AG-1CUPP13</v>
      </c>
      <c r="D186" s="4" t="str">
        <f ca="1">IFERROR(__xludf.DUMMYFUNCTION("""COMPUTED_VALUE"""),"Переход на 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штрихкода"&amp;"м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мобиль"&amp;"ный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то"&amp;"варе,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6" s="4" t="str">
        <f ca="1">IFERROR(__xludf.DUMMYFUNCTION("""COMPUTED_VALUE"""),"Переход на 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штрихкода"&amp;"м ")</f>
        <v xml:space="preserve">Переход на 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</v>
      </c>
      <c r="F186" s="5">
        <f ca="1">IFERROR(__xludf.DUMMYFUNCTION("""COMPUTED_VALUE"""),7275)</f>
        <v>7275</v>
      </c>
    </row>
    <row r="187" spans="1:6" ht="44.25" customHeight="1" x14ac:dyDescent="0.2">
      <c r="A187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7" s="4" t="str">
        <f ca="1">IFERROR(__xludf.DUMMYFUNCTION("""COMPUTED_VALUE"""),"ПРОДУКТОВЫЙ, РАСШИРЕННЫЙ")</f>
        <v>ПРОДУКТОВЫЙ, РАСШИРЕННЫЙ</v>
      </c>
      <c r="C187" s="4" t="str">
        <f ca="1">IFERROR(__xludf.DUMMYFUNCTION("""COMPUTED_VALUE"""),"UP2-RTL15BG-1CUPP13")</f>
        <v>UP2-RTL15BG-1CUPP13</v>
      </c>
      <c r="D187" s="4" t="str">
        <f ca="1">IFERROR(__xludf.DUMMYFUNCTION("""COMPUTED_VALUE"""),"Переход на 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штрих"&amp;"кодам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мо"&amp;"бильный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"&amp;"о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7" s="4" t="str">
        <f ca="1">IFERROR(__xludf.DUMMYFUNCTION("""COMPUTED_VALUE"""),"Переход на 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штрих"&amp;"кодам ")</f>
        <v xml:space="preserve">Переход на 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</v>
      </c>
      <c r="F187" s="5">
        <f ca="1">IFERROR(__xludf.DUMMYFUNCTION("""COMPUTED_VALUE"""),10475)</f>
        <v>10475</v>
      </c>
    </row>
    <row r="188" spans="1:6" ht="44.25" customHeight="1" x14ac:dyDescent="0.2">
      <c r="A188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8" s="4" t="str">
        <f ca="1">IFERROR(__xludf.DUMMYFUNCTION("""COMPUTED_VALUE"""),"ПРОДУКТОВЫЙ, МЕГАМАРКЕТ")</f>
        <v>ПРОДУКТОВЫЙ, МЕГАМАРКЕТ</v>
      </c>
      <c r="C188" s="4" t="str">
        <f ca="1">IFERROR(__xludf.DUMMYFUNCTION("""COMPUTED_VALUE"""),"UP2-RTL15CG-1CUPP13")</f>
        <v>UP2-RTL15CG-1CUPP13</v>
      </c>
      <c r="D188" s="4" t="str">
        <f ca="1">IFERROR(__xludf.DUMMYFUNCTION("""COMPUTED_VALUE"""),"Переход на 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штрихк"&amp;"одам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моб"&amp;"ильный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коллективная"&amp;"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8" s="4" t="str">
        <f ca="1">IFERROR(__xludf.DUMMYFUNCTION("""COMPUTED_VALUE"""),"Переход на 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штрихк"&amp;"одам ")</f>
        <v xml:space="preserve">Переход на 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</v>
      </c>
      <c r="F188" s="5">
        <f ca="1">IFERROR(__xludf.DUMMYFUNCTION("""COMPUTED_VALUE"""),14125)</f>
        <v>14125</v>
      </c>
    </row>
    <row r="189" spans="1:6" ht="44.25" customHeight="1" x14ac:dyDescent="0.2">
      <c r="A189" s="4" t="str">
        <f ca="1">IFERROR(__xludf.DUMMYFUNCTION("""COMPUTED_VALUE"""),"«1С: Управление торговлей 11.0»")</f>
        <v>«1С: Управление торговлей 11.0»</v>
      </c>
      <c r="B189" s="4" t="str">
        <f ca="1">IFERROR(__xludf.DUMMYFUNCTION("""COMPUTED_VALUE"""),"МИНИМУМ")</f>
        <v>МИНИМУМ</v>
      </c>
      <c r="C189" s="4" t="str">
        <f ca="1">IFERROR(__xludf.DUMMYFUNCTION("""COMPUTED_VALUE"""),"UP2-RTL15M-1CUT110")</f>
        <v>UP2-RTL15M-1CUT110</v>
      </c>
      <c r="D189" s="4" t="str">
        <f ca="1">IFERROR(__xludf.DUMMYFUNCTION("""COMPUTED_VALUE"""),"Переход на Mobile SMARTS: Магазин 15, МИНИМУМ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просмотр"&amp;"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н"&amp;"а 1 (один) год")</f>
        <v>Переход на Mobile SMARTS: Магазин 15, МИНИМУМ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89" s="4" t="str">
        <f ca="1">IFERROR(__xludf.DUMMYFUNCTION("""COMPUTED_VALUE"""),"Переход на Mobile SMARTS: Магазин 15, МИНИМУМ для «1С: Управление торговлей 11.0», для работы с товаром по штрихкодам ")</f>
        <v xml:space="preserve">Переход на Mobile SMARTS: Магазин 15, МИНИМУМ для «1С: Управление торговлей 11.0», для работы с товаром по штрихкодам </v>
      </c>
      <c r="F189" s="5">
        <f ca="1">IFERROR(__xludf.DUMMYFUNCTION("""COMPUTED_VALUE"""),1725)</f>
        <v>1725</v>
      </c>
    </row>
    <row r="190" spans="1:6" ht="44.25" customHeight="1" x14ac:dyDescent="0.2">
      <c r="A190" s="4" t="str">
        <f ca="1">IFERROR(__xludf.DUMMYFUNCTION("""COMPUTED_VALUE"""),"«1С: Управление торговлей 11.0»")</f>
        <v>«1С: Управление торговлей 11.0»</v>
      </c>
      <c r="B190" s="4" t="str">
        <f ca="1">IFERROR(__xludf.DUMMYFUNCTION("""COMPUTED_VALUE"""),"БАЗОВЫЙ")</f>
        <v>БАЗОВЫЙ</v>
      </c>
      <c r="C190" s="4" t="str">
        <f ca="1">IFERROR(__xludf.DUMMYFUNCTION("""COMPUTED_VALUE"""),"UP2-RTL15A-1CUT110")</f>
        <v>UP2-RTL15A-1CUT110</v>
      </c>
      <c r="D190" s="4" t="str">
        <f ca="1">IFERROR(__xludf.DUMMYFUNCTION("""COMPUTED_VALUE"""),"Переход на Mobile SMARTS: Магазин 15, БАЗОВЫЙ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0" s="4" t="str">
        <f ca="1">IFERROR(__xludf.DUMMYFUNCTION("""COMPUTED_VALUE"""),"Переход на Mobile SMARTS: Магазин 15, БАЗОВЫЙ для «1С: Управление торговлей 11.0», для работы с товаром по штрихкодам ")</f>
        <v xml:space="preserve">Переход на Mobile SMARTS: Магазин 15, БАЗОВЫЙ для «1С: Управление торговлей 11.0», для работы с товаром по штрихкодам </v>
      </c>
      <c r="F190" s="5">
        <f ca="1">IFERROR(__xludf.DUMMYFUNCTION("""COMPUTED_VALUE"""),4325)</f>
        <v>4325</v>
      </c>
    </row>
    <row r="191" spans="1:6" ht="44.25" customHeight="1" x14ac:dyDescent="0.2">
      <c r="A191" s="4" t="str">
        <f ca="1">IFERROR(__xludf.DUMMYFUNCTION("""COMPUTED_VALUE"""),"«1С: Управление торговлей 11.0»")</f>
        <v>«1С: Управление торговлей 11.0»</v>
      </c>
      <c r="B191" s="4" t="str">
        <f ca="1">IFERROR(__xludf.DUMMYFUNCTION("""COMPUTED_VALUE"""),"РАСШИРЕННЫЙ")</f>
        <v>РАСШИРЕННЫЙ</v>
      </c>
      <c r="C191" s="4" t="str">
        <f ca="1">IFERROR(__xludf.DUMMYFUNCTION("""COMPUTED_VALUE"""),"UP2-RTL15B-1CUT110")</f>
        <v>UP2-RTL15B-1CUT110</v>
      </c>
      <c r="D191" s="4" t="str">
        <f ca="1">IFERROR(__xludf.DUMMYFUNCTION("""COMPUTED_VALUE"""),"Переход на Mobile SMARTS: Магазин 15, РАСШИРЕННЫЙ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1" s="4" t="str">
        <f ca="1">IFERROR(__xludf.DUMMYFUNCTION("""COMPUTED_VALUE"""),"Переход на Mobile SMARTS: Магазин 15, РАСШИРЕННЫЙ для «1С: Управление торговлей 11.0», для работы с товаром по штрихкодам ")</f>
        <v xml:space="preserve">Переход на Mobile SMARTS: Магазин 15, РАСШИРЕННЫЙ для «1С: Управление торговлей 11.0», для работы с товаром по штрихкодам </v>
      </c>
      <c r="F191" s="5">
        <f ca="1">IFERROR(__xludf.DUMMYFUNCTION("""COMPUTED_VALUE"""),7525)</f>
        <v>7525</v>
      </c>
    </row>
    <row r="192" spans="1:6" ht="44.25" customHeight="1" x14ac:dyDescent="0.2">
      <c r="A192" s="4" t="str">
        <f ca="1">IFERROR(__xludf.DUMMYFUNCTION("""COMPUTED_VALUE"""),"«1С: Управление торговлей 11.0»")</f>
        <v>«1С: Управление торговлей 11.0»</v>
      </c>
      <c r="B192" s="4" t="str">
        <f ca="1">IFERROR(__xludf.DUMMYFUNCTION("""COMPUTED_VALUE"""),"МЕГАМАРКЕТ")</f>
        <v>МЕГАМАРКЕТ</v>
      </c>
      <c r="C192" s="4" t="str">
        <f ca="1">IFERROR(__xludf.DUMMYFUNCTION("""COMPUTED_VALUE"""),"UP2-RTL15C-1CUT110")</f>
        <v>UP2-RTL15C-1CUT110</v>
      </c>
      <c r="D192" s="4" t="str">
        <f ca="1">IFERROR(__xludf.DUMMYFUNCTION("""COMPUTED_VALUE"""),"Переход на Mobile SMARTS: Магазин 15, МЕГАМАРКЕТ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2" s="4" t="str">
        <f ca="1">IFERROR(__xludf.DUMMYFUNCTION("""COMPUTED_VALUE"""),"Переход на Mobile SMARTS: Магазин 15, МЕГАМАРКЕТ для «1С: Управление торговлей 11.0», для работы с товаром по штрихкодам ")</f>
        <v xml:space="preserve">Переход на Mobile SMARTS: Магазин 15, МЕГАМАРКЕТ для «1С: Управление торговлей 11.0», для работы с товаром по штрихкодам </v>
      </c>
      <c r="F192" s="5">
        <f ca="1">IFERROR(__xludf.DUMMYFUNCTION("""COMPUTED_VALUE"""),10775)</f>
        <v>10775</v>
      </c>
    </row>
    <row r="193" spans="1:6" ht="44.25" customHeight="1" x14ac:dyDescent="0.2">
      <c r="A193" s="4" t="str">
        <f ca="1">IFERROR(__xludf.DUMMYFUNCTION("""COMPUTED_VALUE"""),"«1С: Управление торговлей 11.0»")</f>
        <v>«1С: Управление торговлей 11.0»</v>
      </c>
      <c r="B193" s="4" t="str">
        <f ca="1">IFERROR(__xludf.DUMMYFUNCTION("""COMPUTED_VALUE"""),"с ЕГАИС, БАЗОВЫЙ")</f>
        <v>с ЕГАИС, БАЗОВЫЙ</v>
      </c>
      <c r="C193" s="4" t="str">
        <f ca="1">IFERROR(__xludf.DUMMYFUNCTION("""COMPUTED_VALUE"""),"UP2-RTL15AE-1CUT110")</f>
        <v>UP2-RTL15AE-1CUT110</v>
      </c>
      <c r="D193" s="4" t="str">
        <f ca="1">IFERROR(__xludf.DUMMYFUNCTION("""COMPUTED_VALUE"""),"Переход на 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проводно"&amp;"й,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спра"&amp;"вочников,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устрой"&amp;"ство, подписка на обновления и обмен через Интернет на 1 (один) год")</f>
        <v>Переход на 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93" s="4" t="str">
        <f ca="1">IFERROR(__xludf.DUMMYFUNCTION("""COMPUTED_VALUE"""),"Переход на 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93" s="5">
        <f ca="1">IFERROR(__xludf.DUMMYFUNCTION("""COMPUTED_VALUE"""),6500)</f>
        <v>6500</v>
      </c>
    </row>
    <row r="194" spans="1:6" ht="44.25" customHeight="1" x14ac:dyDescent="0.2">
      <c r="A194" s="4" t="str">
        <f ca="1">IFERROR(__xludf.DUMMYFUNCTION("""COMPUTED_VALUE"""),"«1С: Управление торговлей 11.0»")</f>
        <v>«1С: Управление торговлей 11.0»</v>
      </c>
      <c r="B194" s="4" t="str">
        <f ca="1">IFERROR(__xludf.DUMMYFUNCTION("""COMPUTED_VALUE"""),"с ЕГАИС, РАСШИРЕННЫЙ")</f>
        <v>с ЕГАИС, РАСШИРЕННЫЙ</v>
      </c>
      <c r="C194" s="4" t="str">
        <f ca="1">IFERROR(__xludf.DUMMYFUNCTION("""COMPUTED_VALUE"""),"UP2-RTL15BE-1CUT110")</f>
        <v>UP2-RTL15BE-1CUT110</v>
      </c>
      <c r="D194" s="4" t="str">
        <f ca="1">IFERROR(__xludf.DUMMYFUNCTION("""COMPUTED_VALUE"""),"Переход на 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пров"&amp;"одной,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"&amp;"справочников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подп"&amp;"иска на обновления и обмен через Интернет на 1 (один) год")</f>
        <v>Переход на 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4" s="4" t="str">
        <f ca="1">IFERROR(__xludf.DUMMYFUNCTION("""COMPUTED_VALUE"""),"Переход на 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94" s="5">
        <f ca="1">IFERROR(__xludf.DUMMYFUNCTION("""COMPUTED_VALUE"""),9725)</f>
        <v>9725</v>
      </c>
    </row>
    <row r="195" spans="1:6" ht="44.25" customHeight="1" x14ac:dyDescent="0.2">
      <c r="A195" s="4" t="str">
        <f ca="1">IFERROR(__xludf.DUMMYFUNCTION("""COMPUTED_VALUE"""),"«1С: Управление торговлей 11.0»")</f>
        <v>«1С: Управление торговлей 11.0»</v>
      </c>
      <c r="B195" s="4" t="str">
        <f ca="1">IFERROR(__xludf.DUMMYFUNCTION("""COMPUTED_VALUE"""),"с ЕГАИС (без CheckMark2), МЕГАМАРКЕТ")</f>
        <v>с ЕГАИС (без CheckMark2), МЕГАМАРКЕТ</v>
      </c>
      <c r="C195" s="4" t="str">
        <f ca="1">IFERROR(__xludf.DUMMYFUNCTION("""COMPUTED_VALUE"""),"UP2-RTL15CEV-1CUT110")</f>
        <v>UP2-RTL15CEV-1CUT110</v>
      </c>
      <c r="D195" s="4" t="str">
        <f ca="1">IFERROR(__xludf.DUMMYFUNCTION("""COMPUTED_VALUE"""),"Переход на 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штрихкодам"&amp;"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штрих"&amp;"кодов,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"&amp;"/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5" s="4" t="str">
        <f ca="1">IFERROR(__xludf.DUMMYFUNCTION("""COMPUTED_VALUE"""),"Переход на 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штрихкодам"&amp;" ")</f>
        <v xml:space="preserve">Переход на 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195" s="5">
        <f ca="1">IFERROR(__xludf.DUMMYFUNCTION("""COMPUTED_VALUE"""),12925)</f>
        <v>12925</v>
      </c>
    </row>
    <row r="196" spans="1:6" ht="44.25" customHeight="1" x14ac:dyDescent="0.2">
      <c r="A196" s="4" t="str">
        <f ca="1">IFERROR(__xludf.DUMMYFUNCTION("""COMPUTED_VALUE"""),"«1С: Управление торговлей 11.1»")</f>
        <v>«1С: Управление торговлей 11.1»</v>
      </c>
      <c r="B196" s="4" t="str">
        <f ca="1">IFERROR(__xludf.DUMMYFUNCTION("""COMPUTED_VALUE"""),"МИНИМУМ")</f>
        <v>МИНИМУМ</v>
      </c>
      <c r="C196" s="4" t="str">
        <f ca="1">IFERROR(__xludf.DUMMYFUNCTION("""COMPUTED_VALUE"""),"UP2-RTL15M-1CUT111")</f>
        <v>UP2-RTL15M-1CUT111</v>
      </c>
      <c r="D196" s="4" t="str">
        <f ca="1">IFERROR(__xludf.DUMMYFUNCTION("""COMPUTED_VALUE"""),"Переход на Mobile SMARTS: Магазин 15, МИНИМУМ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просмотр"&amp;"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н"&amp;"а 1 (один) год")</f>
        <v>Переход на Mobile SMARTS: Магазин 15, МИНИМУМ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96" s="4" t="str">
        <f ca="1">IFERROR(__xludf.DUMMYFUNCTION("""COMPUTED_VALUE"""),"Переход на Mobile SMARTS: Магазин 15, МИНИМУМ для «1С: Управление торговлей 11.1», для работы с товаром по штрихкодам ")</f>
        <v xml:space="preserve">Переход на Mobile SMARTS: Магазин 15, МИНИМУМ для «1С: Управление торговлей 11.1», для работы с товаром по штрихкодам </v>
      </c>
      <c r="F196" s="5">
        <f ca="1">IFERROR(__xludf.DUMMYFUNCTION("""COMPUTED_VALUE"""),1725)</f>
        <v>1725</v>
      </c>
    </row>
    <row r="197" spans="1:6" ht="44.25" customHeight="1" x14ac:dyDescent="0.2">
      <c r="A197" s="4" t="str">
        <f ca="1">IFERROR(__xludf.DUMMYFUNCTION("""COMPUTED_VALUE"""),"«1С: Управление торговлей 11.1»")</f>
        <v>«1С: Управление торговлей 11.1»</v>
      </c>
      <c r="B197" s="4" t="str">
        <f ca="1">IFERROR(__xludf.DUMMYFUNCTION("""COMPUTED_VALUE"""),"БАЗОВЫЙ")</f>
        <v>БАЗОВЫЙ</v>
      </c>
      <c r="C197" s="4" t="str">
        <f ca="1">IFERROR(__xludf.DUMMYFUNCTION("""COMPUTED_VALUE"""),"UP2-RTL15A-1CUT111")</f>
        <v>UP2-RTL15A-1CUT111</v>
      </c>
      <c r="D197" s="4" t="str">
        <f ca="1">IFERROR(__xludf.DUMMYFUNCTION("""COMPUTED_VALUE"""),"Переход на Mobile SMARTS: Магазин 15, БАЗОВЫЙ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7" s="4" t="str">
        <f ca="1">IFERROR(__xludf.DUMMYFUNCTION("""COMPUTED_VALUE"""),"Переход на Mobile SMARTS: Магазин 15, БАЗОВЫЙ для «1С: Управление торговлей 11.1», для работы с товаром по штрихкодам ")</f>
        <v xml:space="preserve">Переход на Mobile SMARTS: Магазин 15, БАЗОВЫЙ для «1С: Управление торговлей 11.1», для работы с товаром по штрихкодам </v>
      </c>
      <c r="F197" s="5">
        <f ca="1">IFERROR(__xludf.DUMMYFUNCTION("""COMPUTED_VALUE"""),4325)</f>
        <v>4325</v>
      </c>
    </row>
    <row r="198" spans="1:6" ht="44.25" customHeight="1" x14ac:dyDescent="0.2">
      <c r="A198" s="4" t="str">
        <f ca="1">IFERROR(__xludf.DUMMYFUNCTION("""COMPUTED_VALUE"""),"«1С: Управление торговлей 11.1»")</f>
        <v>«1С: Управление торговлей 11.1»</v>
      </c>
      <c r="B198" s="4" t="str">
        <f ca="1">IFERROR(__xludf.DUMMYFUNCTION("""COMPUTED_VALUE"""),"РАСШИРЕННЫЙ")</f>
        <v>РАСШИРЕННЫЙ</v>
      </c>
      <c r="C198" s="4" t="str">
        <f ca="1">IFERROR(__xludf.DUMMYFUNCTION("""COMPUTED_VALUE"""),"UP2-RTL15B-1CUT111")</f>
        <v>UP2-RTL15B-1CUT111</v>
      </c>
      <c r="D198" s="4" t="str">
        <f ca="1">IFERROR(__xludf.DUMMYFUNCTION("""COMPUTED_VALUE"""),"Переход на Mobile SMARTS: Магазин 15, РАСШИРЕННЫЙ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8" s="4" t="str">
        <f ca="1">IFERROR(__xludf.DUMMYFUNCTION("""COMPUTED_VALUE"""),"Переход на Mobile SMARTS: Магазин 15, РАСШИРЕННЫЙ для «1С: Управление торговлей 11.1», для работы с товаром по штрихкодам ")</f>
        <v xml:space="preserve">Переход на Mobile SMARTS: Магазин 15, РАСШИРЕННЫЙ для «1С: Управление торговлей 11.1», для работы с товаром по штрихкодам </v>
      </c>
      <c r="F198" s="5">
        <f ca="1">IFERROR(__xludf.DUMMYFUNCTION("""COMPUTED_VALUE"""),7525)</f>
        <v>7525</v>
      </c>
    </row>
    <row r="199" spans="1:6" ht="44.25" customHeight="1" x14ac:dyDescent="0.2">
      <c r="A199" s="4" t="str">
        <f ca="1">IFERROR(__xludf.DUMMYFUNCTION("""COMPUTED_VALUE"""),"«1С: Управление торговлей 11.1»")</f>
        <v>«1С: Управление торговлей 11.1»</v>
      </c>
      <c r="B199" s="4" t="str">
        <f ca="1">IFERROR(__xludf.DUMMYFUNCTION("""COMPUTED_VALUE"""),"МЕГАМАРКЕТ")</f>
        <v>МЕГАМАРКЕТ</v>
      </c>
      <c r="C199" s="4" t="str">
        <f ca="1">IFERROR(__xludf.DUMMYFUNCTION("""COMPUTED_VALUE"""),"UP2-RTL15C-1CUT111")</f>
        <v>UP2-RTL15C-1CUT111</v>
      </c>
      <c r="D199" s="4" t="str">
        <f ca="1">IFERROR(__xludf.DUMMYFUNCTION("""COMPUTED_VALUE"""),"Переход на Mobile SMARTS: Магазин 15, МЕГАМАРКЕТ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9" s="4" t="str">
        <f ca="1">IFERROR(__xludf.DUMMYFUNCTION("""COMPUTED_VALUE"""),"Переход на Mobile SMARTS: Магазин 15, МЕГАМАРКЕТ для «1С: Управление торговлей 11.1», для работы с товаром по штрихкодам ")</f>
        <v xml:space="preserve">Переход на Mobile SMARTS: Магазин 15, МЕГАМАРКЕТ для «1С: Управление торговлей 11.1», для работы с товаром по штрихкодам </v>
      </c>
      <c r="F199" s="5">
        <f ca="1">IFERROR(__xludf.DUMMYFUNCTION("""COMPUTED_VALUE"""),10775)</f>
        <v>10775</v>
      </c>
    </row>
    <row r="200" spans="1:6" ht="44.25" customHeight="1" x14ac:dyDescent="0.2">
      <c r="A200" s="4" t="str">
        <f ca="1">IFERROR(__xludf.DUMMYFUNCTION("""COMPUTED_VALUE"""),"«1С: Управление торговлей 11.1»")</f>
        <v>«1С: Управление торговлей 11.1»</v>
      </c>
      <c r="B200" s="4" t="str">
        <f ca="1">IFERROR(__xludf.DUMMYFUNCTION("""COMPUTED_VALUE"""),"с ЕГАИС, БАЗОВЫЙ")</f>
        <v>с ЕГАИС, БАЗОВЫЙ</v>
      </c>
      <c r="C200" s="4" t="str">
        <f ca="1">IFERROR(__xludf.DUMMYFUNCTION("""COMPUTED_VALUE"""),"UP2-RTL15AE-1CUT111")</f>
        <v>UP2-RTL15AE-1CUT111</v>
      </c>
      <c r="D200" s="4" t="str">
        <f ca="1">IFERROR(__xludf.DUMMYFUNCTION("""COMPUTED_VALUE"""),"Переход на 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проводно"&amp;"й,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спра"&amp;"вочников,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устрой"&amp;"ство, подписка на обновления и обмен через Интернет на 1 (один) год")</f>
        <v>Переход на 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00" s="4" t="str">
        <f ca="1">IFERROR(__xludf.DUMMYFUNCTION("""COMPUTED_VALUE"""),"Переход на 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200" s="5">
        <f ca="1">IFERROR(__xludf.DUMMYFUNCTION("""COMPUTED_VALUE"""),6500)</f>
        <v>6500</v>
      </c>
    </row>
    <row r="201" spans="1:6" ht="44.25" customHeight="1" x14ac:dyDescent="0.2">
      <c r="A201" s="4" t="str">
        <f ca="1">IFERROR(__xludf.DUMMYFUNCTION("""COMPUTED_VALUE"""),"«1С: Управление торговлей 11.1»")</f>
        <v>«1С: Управление торговлей 11.1»</v>
      </c>
      <c r="B201" s="4" t="str">
        <f ca="1">IFERROR(__xludf.DUMMYFUNCTION("""COMPUTED_VALUE"""),"с ЕГАИС, РАСШИРЕННЫЙ")</f>
        <v>с ЕГАИС, РАСШИРЕННЫЙ</v>
      </c>
      <c r="C201" s="4" t="str">
        <f ca="1">IFERROR(__xludf.DUMMYFUNCTION("""COMPUTED_VALUE"""),"UP2-RTL15BE-1CUT111")</f>
        <v>UP2-RTL15BE-1CUT111</v>
      </c>
      <c r="D201" s="4" t="str">
        <f ca="1">IFERROR(__xludf.DUMMYFUNCTION("""COMPUTED_VALUE"""),"Переход на 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пров"&amp;"одной,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"&amp;"справочников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подп"&amp;"иска на обновления и обмен через Интернет на 1 (один) год")</f>
        <v>Переход на 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1" s="4" t="str">
        <f ca="1">IFERROR(__xludf.DUMMYFUNCTION("""COMPUTED_VALUE"""),"Переход на 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201" s="5">
        <f ca="1">IFERROR(__xludf.DUMMYFUNCTION("""COMPUTED_VALUE"""),9725)</f>
        <v>9725</v>
      </c>
    </row>
    <row r="202" spans="1:6" ht="44.25" customHeight="1" x14ac:dyDescent="0.2">
      <c r="A202" s="4" t="str">
        <f ca="1">IFERROR(__xludf.DUMMYFUNCTION("""COMPUTED_VALUE"""),"«1С: Управление торговлей 11.1»")</f>
        <v>«1С: Управление торговлей 11.1»</v>
      </c>
      <c r="B202" s="4" t="str">
        <f ca="1">IFERROR(__xludf.DUMMYFUNCTION("""COMPUTED_VALUE"""),"с ЕГАИС (без CheckMark2), МЕГАМАРКЕТ")</f>
        <v>с ЕГАИС (без CheckMark2), МЕГАМАРКЕТ</v>
      </c>
      <c r="C202" s="4" t="str">
        <f ca="1">IFERROR(__xludf.DUMMYFUNCTION("""COMPUTED_VALUE"""),"UP2-RTL15CEV-1CUT111")</f>
        <v>UP2-RTL15CEV-1CUT111</v>
      </c>
      <c r="D202" s="4" t="str">
        <f ca="1">IFERROR(__xludf.DUMMYFUNCTION("""COMPUTED_VALUE"""),"Переход на 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штрихкодам"&amp;"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штрих"&amp;"кодов,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"&amp;"/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2" s="4" t="str">
        <f ca="1">IFERROR(__xludf.DUMMYFUNCTION("""COMPUTED_VALUE"""),"Переход на 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штрихкодам"&amp;" ")</f>
        <v xml:space="preserve">Переход на 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202" s="5">
        <f ca="1">IFERROR(__xludf.DUMMYFUNCTION("""COMPUTED_VALUE"""),12925)</f>
        <v>12925</v>
      </c>
    </row>
    <row r="203" spans="1:6" ht="44.25" customHeight="1" x14ac:dyDescent="0.2">
      <c r="A203" s="4" t="str">
        <f ca="1">IFERROR(__xludf.DUMMYFUNCTION("""COMPUTED_VALUE"""),"«1С: Управление торговлей 11.2»")</f>
        <v>«1С: Управление торговлей 11.2»</v>
      </c>
      <c r="B203" s="4" t="str">
        <f ca="1">IFERROR(__xludf.DUMMYFUNCTION("""COMPUTED_VALUE"""),"МИНИМУМ")</f>
        <v>МИНИМУМ</v>
      </c>
      <c r="C203" s="4" t="str">
        <f ca="1">IFERROR(__xludf.DUMMYFUNCTION("""COMPUTED_VALUE"""),"UP2-RTL15M-1CUT112")</f>
        <v>UP2-RTL15M-1CUT112</v>
      </c>
      <c r="D203" s="4" t="str">
        <f ca="1">IFERROR(__xludf.DUMMYFUNCTION("""COMPUTED_VALUE"""),"Переход на Mobile SMARTS: Магазин 15, МИНИМУМ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просмотр"&amp;"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н"&amp;"а 1 (один) год")</f>
        <v>Переход на Mobile SMARTS: Магазин 15, МИНИМУМ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03" s="4" t="str">
        <f ca="1">IFERROR(__xludf.DUMMYFUNCTION("""COMPUTED_VALUE"""),"Переход на Mobile SMARTS: Магазин 15, МИНИМУМ для «1С: Управление торговлей 11.2», для работы с товаром по штрихкодам ")</f>
        <v xml:space="preserve">Переход на Mobile SMARTS: Магазин 15, МИНИМУМ для «1С: Управление торговлей 11.2», для работы с товаром по штрихкодам </v>
      </c>
      <c r="F203" s="5">
        <f ca="1">IFERROR(__xludf.DUMMYFUNCTION("""COMPUTED_VALUE"""),1725)</f>
        <v>1725</v>
      </c>
    </row>
    <row r="204" spans="1:6" ht="44.25" customHeight="1" x14ac:dyDescent="0.2">
      <c r="A204" s="4" t="str">
        <f ca="1">IFERROR(__xludf.DUMMYFUNCTION("""COMPUTED_VALUE"""),"«1С: Управление торговлей 11.2»")</f>
        <v>«1С: Управление торговлей 11.2»</v>
      </c>
      <c r="B204" s="4" t="str">
        <f ca="1">IFERROR(__xludf.DUMMYFUNCTION("""COMPUTED_VALUE"""),"БАЗОВЫЙ")</f>
        <v>БАЗОВЫЙ</v>
      </c>
      <c r="C204" s="4" t="str">
        <f ca="1">IFERROR(__xludf.DUMMYFUNCTION("""COMPUTED_VALUE"""),"UP2-RTL15A-1CUT112")</f>
        <v>UP2-RTL15A-1CUT112</v>
      </c>
      <c r="D204" s="4" t="str">
        <f ca="1">IFERROR(__xludf.DUMMYFUNCTION("""COMPUTED_VALUE"""),"Переход на Mobile SMARTS: Магазин 15, БАЗОВЫЙ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4" s="4" t="str">
        <f ca="1">IFERROR(__xludf.DUMMYFUNCTION("""COMPUTED_VALUE"""),"Переход на Mobile SMARTS: Магазин 15, БАЗОВЫЙ для «1С: Управление торговлей 11.2», для работы с товаром по штрихкодам ")</f>
        <v xml:space="preserve">Переход на Mobile SMARTS: Магазин 15, БАЗОВЫЙ для «1С: Управление торговлей 11.2», для работы с товаром по штрихкодам </v>
      </c>
      <c r="F204" s="5">
        <f ca="1">IFERROR(__xludf.DUMMYFUNCTION("""COMPUTED_VALUE"""),4325)</f>
        <v>4325</v>
      </c>
    </row>
    <row r="205" spans="1:6" ht="44.25" customHeight="1" x14ac:dyDescent="0.2">
      <c r="A205" s="4" t="str">
        <f ca="1">IFERROR(__xludf.DUMMYFUNCTION("""COMPUTED_VALUE"""),"«1С: Управление торговлей 11.2»")</f>
        <v>«1С: Управление торговлей 11.2»</v>
      </c>
      <c r="B205" s="4" t="str">
        <f ca="1">IFERROR(__xludf.DUMMYFUNCTION("""COMPUTED_VALUE"""),"РАСШИРЕННЫЙ")</f>
        <v>РАСШИРЕННЫЙ</v>
      </c>
      <c r="C205" s="4" t="str">
        <f ca="1">IFERROR(__xludf.DUMMYFUNCTION("""COMPUTED_VALUE"""),"UP2-RTL15B-1CUT112")</f>
        <v>UP2-RTL15B-1CUT112</v>
      </c>
      <c r="D205" s="4" t="str">
        <f ca="1">IFERROR(__xludf.DUMMYFUNCTION("""COMPUTED_VALUE"""),"Переход на Mobile SMARTS: Магазин 15, РАСШИРЕННЫЙ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5" s="4" t="str">
        <f ca="1">IFERROR(__xludf.DUMMYFUNCTION("""COMPUTED_VALUE"""),"Переход на Mobile SMARTS: Магазин 15, РАСШИРЕННЫЙ для «1С: Управление торговлей 11.2», для работы с товаром по штрихкодам ")</f>
        <v xml:space="preserve">Переход на Mobile SMARTS: Магазин 15, РАСШИРЕННЫЙ для «1С: Управление торговлей 11.2», для работы с товаром по штрихкодам </v>
      </c>
      <c r="F205" s="5">
        <f ca="1">IFERROR(__xludf.DUMMYFUNCTION("""COMPUTED_VALUE"""),7525)</f>
        <v>7525</v>
      </c>
    </row>
    <row r="206" spans="1:6" ht="44.25" customHeight="1" x14ac:dyDescent="0.2">
      <c r="A206" s="4" t="str">
        <f ca="1">IFERROR(__xludf.DUMMYFUNCTION("""COMPUTED_VALUE"""),"«1С: Управление торговлей 11.2»")</f>
        <v>«1С: Управление торговлей 11.2»</v>
      </c>
      <c r="B206" s="4" t="str">
        <f ca="1">IFERROR(__xludf.DUMMYFUNCTION("""COMPUTED_VALUE"""),"МЕГАМАРКЕТ")</f>
        <v>МЕГАМАРКЕТ</v>
      </c>
      <c r="C206" s="4" t="str">
        <f ca="1">IFERROR(__xludf.DUMMYFUNCTION("""COMPUTED_VALUE"""),"UP2-RTL15C-1CUT112")</f>
        <v>UP2-RTL15C-1CUT112</v>
      </c>
      <c r="D206" s="4" t="str">
        <f ca="1">IFERROR(__xludf.DUMMYFUNCTION("""COMPUTED_VALUE"""),"Переход на Mobile SMARTS: Магазин 15, МЕГАМАРКЕТ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6" s="4" t="str">
        <f ca="1">IFERROR(__xludf.DUMMYFUNCTION("""COMPUTED_VALUE"""),"Переход на Mobile SMARTS: Магазин 15, МЕГАМАРКЕТ для «1С: Управление торговлей 11.2», для работы с товаром по штрихкодам ")</f>
        <v xml:space="preserve">Переход на Mobile SMARTS: Магазин 15, МЕГАМАРКЕТ для «1С: Управление торговлей 11.2», для работы с товаром по штрихкодам </v>
      </c>
      <c r="F206" s="5">
        <f ca="1">IFERROR(__xludf.DUMMYFUNCTION("""COMPUTED_VALUE"""),10775)</f>
        <v>10775</v>
      </c>
    </row>
    <row r="207" spans="1:6" ht="44.25" customHeight="1" x14ac:dyDescent="0.2">
      <c r="A207" s="4" t="str">
        <f ca="1">IFERROR(__xludf.DUMMYFUNCTION("""COMPUTED_VALUE"""),"«1С: Управление торговлей 11.2»")</f>
        <v>«1С: Управление торговлей 11.2»</v>
      </c>
      <c r="B207" s="4" t="str">
        <f ca="1">IFERROR(__xludf.DUMMYFUNCTION("""COMPUTED_VALUE"""),"с ЕГАИС, БАЗОВЫЙ")</f>
        <v>с ЕГАИС, БАЗОВЫЙ</v>
      </c>
      <c r="C207" s="4" t="str">
        <f ca="1">IFERROR(__xludf.DUMMYFUNCTION("""COMPUTED_VALUE"""),"UP2-RTL15AE-1CUT112")</f>
        <v>UP2-RTL15AE-1CUT112</v>
      </c>
      <c r="D207" s="4" t="str">
        <f ca="1">IFERROR(__xludf.DUMMYFUNCTION("""COMPUTED_VALUE"""),"Переход на Mobile SMARTS: Магазин 15 с ЕГАИС, БАЗОВЫЙ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опер"&amp;"ации: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принтер,"&amp;"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07" s="4" t="str">
        <f ca="1">IFERROR(__xludf.DUMMYFUNCTION("""COMPUTED_VALUE"""),"Переход на Mobile SMARTS: Магазин 15 с ЕГАИС, БАЗОВЫЙ для «1С: Управление торговлей 11.2», для работы с маркированным товаром: алкоголь ЕГАИС и товары по штрихкодам ")</f>
        <v xml:space="preserve">Переход на Mobile SMARTS: Магазин 15 с ЕГАИС, БАЗОВЫЙ для «1С: Управление торговлей 11.2», для работы с маркированным товаром: алкоголь ЕГАИС и товары по штрихкодам </v>
      </c>
      <c r="F207" s="5">
        <f ca="1">IFERROR(__xludf.DUMMYFUNCTION("""COMPUTED_VALUE"""),5500)</f>
        <v>5500</v>
      </c>
    </row>
    <row r="208" spans="1:6" ht="44.25" customHeight="1" x14ac:dyDescent="0.2">
      <c r="A208" s="4" t="str">
        <f ca="1">IFERROR(__xludf.DUMMYFUNCTION("""COMPUTED_VALUE"""),"«1С: Управление торговлей 11.2»")</f>
        <v>«1С: Управление торговлей 11.2»</v>
      </c>
      <c r="B208" s="4" t="str">
        <f ca="1">IFERROR(__xludf.DUMMYFUNCTION("""COMPUTED_VALUE"""),"с ЕГАИС, РАСШИРЕННЫЙ")</f>
        <v>с ЕГАИС, РАСШИРЕННЫЙ</v>
      </c>
      <c r="C208" s="4" t="str">
        <f ca="1">IFERROR(__xludf.DUMMYFUNCTION("""COMPUTED_VALUE"""),"UP2-RTL15BE-1CUT112")</f>
        <v>UP2-RTL15BE-1CUT112</v>
      </c>
      <c r="D208" s="4" t="str">
        <f ca="1">IFERROR(__xludf.DUMMYFUNCTION("""COMPUTED_VALUE"""),"Переход на Mobile SMARTS: Магазин 15 с ЕГАИС, РАСШИРЕННЫЙ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(один"&amp;") год")</f>
        <v>Переход на Mobile SMARTS: Магазин 15 с ЕГАИС, РАСШИРЕННЫЙ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8" s="4" t="str">
        <f ca="1">IFERROR(__xludf.DUMMYFUNCTION("""COMPUTED_VALUE"""),"Переход на Mobile SMARTS: Магазин 15 с ЕГАИС, РАСШИРЕННЫЙ для «1С: Управление торговлей 11.2»,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Управление торговлей 11.2», для работы с маркированным товаром: алкоголь ЕГАИС и товары по штрихкодам </v>
      </c>
      <c r="F208" s="5">
        <f ca="1">IFERROR(__xludf.DUMMYFUNCTION("""COMPUTED_VALUE"""),8725)</f>
        <v>8725</v>
      </c>
    </row>
    <row r="209" spans="1:6" ht="44.25" customHeight="1" x14ac:dyDescent="0.2">
      <c r="A209" s="4" t="str">
        <f ca="1">IFERROR(__xludf.DUMMYFUNCTION("""COMPUTED_VALUE"""),"«1С: Управление торговлей 11.2»")</f>
        <v>«1С: Управление торговлей 11.2»</v>
      </c>
      <c r="B209" s="4" t="str">
        <f ca="1">IFERROR(__xludf.DUMMYFUNCTION("""COMPUTED_VALUE"""),"с ЕГАИС (без CheckMark2), МЕГАМАРКЕТ")</f>
        <v>с ЕГАИС (без CheckMark2), МЕГАМАРКЕТ</v>
      </c>
      <c r="C209" s="4" t="str">
        <f ca="1">IFERROR(__xludf.DUMMYFUNCTION("""COMPUTED_VALUE"""),"UP2-RTL15CEV-1CUT112")</f>
        <v>UP2-RTL15CEV-1CUT112</v>
      </c>
      <c r="D209" s="4" t="str">
        <f ca="1">IFERROR(__xludf.DUMMYFUNCTION("""COMPUTED_VALUE"""),"Переход на 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ОНЛ"&amp;"АЙН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коллекти"&amp;"вная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Переход на 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9" s="4" t="str">
        <f ca="1">IFERROR(__xludf.DUMMYFUNCTION("""COMPUTED_VALUE"""),"Переход на 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</v>
      </c>
      <c r="F209" s="5">
        <f ca="1">IFERROR(__xludf.DUMMYFUNCTION("""COMPUTED_VALUE"""),11925)</f>
        <v>11925</v>
      </c>
    </row>
    <row r="210" spans="1:6" ht="44.25" customHeight="1" x14ac:dyDescent="0.2">
      <c r="A210" s="4" t="str">
        <f ca="1">IFERROR(__xludf.DUMMYFUNCTION("""COMPUTED_VALUE"""),"«1С: Управление торговлей 11.3»")</f>
        <v>«1С: Управление торговлей 11.3»</v>
      </c>
      <c r="B210" s="4" t="str">
        <f ca="1">IFERROR(__xludf.DUMMYFUNCTION("""COMPUTED_VALUE"""),"МИНИМУМ")</f>
        <v>МИНИМУМ</v>
      </c>
      <c r="C210" s="4" t="str">
        <f ca="1">IFERROR(__xludf.DUMMYFUNCTION("""COMPUTED_VALUE"""),"UP2-RTL15M-1CUT113")</f>
        <v>UP2-RTL15M-1CUT113</v>
      </c>
      <c r="D210" s="4" t="str">
        <f ca="1">IFERROR(__xludf.DUMMYFUNCTION("""COMPUTED_VALUE"""),"Переход на Mobile SMARTS: Магазин 15, МИНИМУМ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просмотр"&amp;"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н"&amp;"а 1 (один) год")</f>
        <v>Переход на Mobile SMARTS: Магазин 15, МИНИМУМ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10" s="4" t="str">
        <f ca="1">IFERROR(__xludf.DUMMYFUNCTION("""COMPUTED_VALUE"""),"Переход на Mobile SMARTS: Магазин 15, МИНИМУМ для «1С: Управление торговлей 11.3», для работы с товаром по штрихкодам ")</f>
        <v xml:space="preserve">Переход на Mobile SMARTS: Магазин 15, МИНИМУМ для «1С: Управление торговлей 11.3», для работы с товаром по штрихкодам </v>
      </c>
      <c r="F210" s="5">
        <f ca="1">IFERROR(__xludf.DUMMYFUNCTION("""COMPUTED_VALUE"""),1725)</f>
        <v>1725</v>
      </c>
    </row>
    <row r="211" spans="1:6" ht="44.25" customHeight="1" x14ac:dyDescent="0.2">
      <c r="A211" s="4" t="str">
        <f ca="1">IFERROR(__xludf.DUMMYFUNCTION("""COMPUTED_VALUE"""),"«1С: Управление торговлей 11.3»")</f>
        <v>«1С: Управление торговлей 11.3»</v>
      </c>
      <c r="B211" s="4" t="str">
        <f ca="1">IFERROR(__xludf.DUMMYFUNCTION("""COMPUTED_VALUE"""),"БАЗОВЫЙ")</f>
        <v>БАЗОВЫЙ</v>
      </c>
      <c r="C211" s="4" t="str">
        <f ca="1">IFERROR(__xludf.DUMMYFUNCTION("""COMPUTED_VALUE"""),"UP2-RTL15A-1CUT113")</f>
        <v>UP2-RTL15A-1CUT113</v>
      </c>
      <c r="D211" s="4" t="str">
        <f ca="1">IFERROR(__xludf.DUMMYFUNCTION("""COMPUTED_VALUE"""),"Переход на Mobile SMARTS: Магазин 15, БАЗОВЫЙ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1" s="4" t="str">
        <f ca="1">IFERROR(__xludf.DUMMYFUNCTION("""COMPUTED_VALUE"""),"Переход на Mobile SMARTS: Магазин 15, БАЗОВЫЙ для «1С: Управление торговлей 11.3», для работы с товаром по штрихкодам ")</f>
        <v xml:space="preserve">Переход на Mobile SMARTS: Магазин 15, БАЗОВЫЙ для «1С: Управление торговлей 11.3», для работы с товаром по штрихкодам </v>
      </c>
      <c r="F211" s="5">
        <f ca="1">IFERROR(__xludf.DUMMYFUNCTION("""COMPUTED_VALUE"""),4325)</f>
        <v>4325</v>
      </c>
    </row>
    <row r="212" spans="1:6" ht="44.25" customHeight="1" x14ac:dyDescent="0.2">
      <c r="A212" s="4" t="str">
        <f ca="1">IFERROR(__xludf.DUMMYFUNCTION("""COMPUTED_VALUE"""),"«1С: Управление торговлей 11.3»")</f>
        <v>«1С: Управление торговлей 11.3»</v>
      </c>
      <c r="B212" s="4" t="str">
        <f ca="1">IFERROR(__xludf.DUMMYFUNCTION("""COMPUTED_VALUE"""),"РАСШИРЕННЫЙ")</f>
        <v>РАСШИРЕННЫЙ</v>
      </c>
      <c r="C212" s="4" t="str">
        <f ca="1">IFERROR(__xludf.DUMMYFUNCTION("""COMPUTED_VALUE"""),"UP2-RTL15B-1CUT113")</f>
        <v>UP2-RTL15B-1CUT113</v>
      </c>
      <c r="D212" s="4" t="str">
        <f ca="1">IFERROR(__xludf.DUMMYFUNCTION("""COMPUTED_VALUE"""),"Переход на Mobile SMARTS: Магазин 15, РАСШИРЕННЫЙ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2" s="4" t="str">
        <f ca="1">IFERROR(__xludf.DUMMYFUNCTION("""COMPUTED_VALUE"""),"Переход на Mobile SMARTS: Магазин 15, РАСШИРЕННЫЙ для «1С: Управление торговлей 11.3», для работы с товаром по штрихкодам ")</f>
        <v xml:space="preserve">Переход на Mobile SMARTS: Магазин 15, РАСШИРЕННЫЙ для «1С: Управление торговлей 11.3», для работы с товаром по штрихкодам </v>
      </c>
      <c r="F212" s="5">
        <f ca="1">IFERROR(__xludf.DUMMYFUNCTION("""COMPUTED_VALUE"""),7525)</f>
        <v>7525</v>
      </c>
    </row>
    <row r="213" spans="1:6" ht="44.25" customHeight="1" x14ac:dyDescent="0.2">
      <c r="A213" s="4" t="str">
        <f ca="1">IFERROR(__xludf.DUMMYFUNCTION("""COMPUTED_VALUE"""),"«1С: Управление торговлей 11.3»")</f>
        <v>«1С: Управление торговлей 11.3»</v>
      </c>
      <c r="B213" s="4" t="str">
        <f ca="1">IFERROR(__xludf.DUMMYFUNCTION("""COMPUTED_VALUE"""),"МЕГАМАРКЕТ")</f>
        <v>МЕГАМАРКЕТ</v>
      </c>
      <c r="C213" s="4" t="str">
        <f ca="1">IFERROR(__xludf.DUMMYFUNCTION("""COMPUTED_VALUE"""),"UP2-RTL15C-1CUT113")</f>
        <v>UP2-RTL15C-1CUT113</v>
      </c>
      <c r="D213" s="4" t="str">
        <f ca="1">IFERROR(__xludf.DUMMYFUNCTION("""COMPUTED_VALUE"""),"Переход на Mobile SMARTS: Магазин 15, МЕГАМАРКЕТ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3" s="4" t="str">
        <f ca="1">IFERROR(__xludf.DUMMYFUNCTION("""COMPUTED_VALUE"""),"Переход на Mobile SMARTS: Магазин 15, МЕГАМАРКЕТ для «1С: Управление торговлей 11.3», для работы с товаром по штрихкодам ")</f>
        <v xml:space="preserve">Переход на Mobile SMARTS: Магазин 15, МЕГАМАРКЕТ для «1С: Управление торговлей 11.3», для работы с товаром по штрихкодам </v>
      </c>
      <c r="F213" s="5">
        <f ca="1">IFERROR(__xludf.DUMMYFUNCTION("""COMPUTED_VALUE"""),10775)</f>
        <v>10775</v>
      </c>
    </row>
    <row r="214" spans="1:6" ht="44.25" customHeight="1" x14ac:dyDescent="0.2">
      <c r="A214" s="4" t="str">
        <f ca="1">IFERROR(__xludf.DUMMYFUNCTION("""COMPUTED_VALUE"""),"«1С: Управление торговлей 11.3»")</f>
        <v>«1С: Управление торговлей 11.3»</v>
      </c>
      <c r="B214" s="4" t="str">
        <f ca="1">IFERROR(__xludf.DUMMYFUNCTION("""COMPUTED_VALUE"""),"с ЕГАИС, БАЗОВЫЙ")</f>
        <v>с ЕГАИС, БАЗОВЫЙ</v>
      </c>
      <c r="C214" s="4" t="str">
        <f ca="1">IFERROR(__xludf.DUMMYFUNCTION("""COMPUTED_VALUE"""),"UP2-RTL15AE-1CUT113")</f>
        <v>UP2-RTL15AE-1CUT113</v>
      </c>
      <c r="D214" s="4" t="str">
        <f ca="1">IFERROR(__xludf.DUMMYFUNCTION("""COMPUTED_VALUE"""),"Переход на Mobile SMARTS: Магазин 15 с ЕГАИС, БАЗОВЫЙ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опер"&amp;"ации: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принтер,"&amp;"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14" s="4" t="str">
        <f ca="1">IFERROR(__xludf.DUMMYFUNCTION("""COMPUTED_VALUE"""),"Переход на Mobile SMARTS: Магазин 15 с ЕГАИС, БАЗОВЫЙ для «1С: Управление торговлей 11.3», для работы с маркированным товаром: алкоголь ЕГАИС и товары по штрихкодам ")</f>
        <v xml:space="preserve">Переход на Mobile SMARTS: Магазин 15 с ЕГАИС, БАЗОВЫЙ для «1С: Управление торговлей 11.3», для работы с маркированным товаром: алкоголь ЕГАИС и товары по штрихкодам </v>
      </c>
      <c r="F214" s="5">
        <f ca="1">IFERROR(__xludf.DUMMYFUNCTION("""COMPUTED_VALUE"""),5500)</f>
        <v>5500</v>
      </c>
    </row>
    <row r="215" spans="1:6" ht="44.25" customHeight="1" x14ac:dyDescent="0.2">
      <c r="A215" s="4" t="str">
        <f ca="1">IFERROR(__xludf.DUMMYFUNCTION("""COMPUTED_VALUE"""),"«1С: Управление торговлей 11.3»")</f>
        <v>«1С: Управление торговлей 11.3»</v>
      </c>
      <c r="B215" s="4" t="str">
        <f ca="1">IFERROR(__xludf.DUMMYFUNCTION("""COMPUTED_VALUE"""),"с ЕГАИС, РАСШИРЕННЫЙ")</f>
        <v>с ЕГАИС, РАСШИРЕННЫЙ</v>
      </c>
      <c r="C215" s="4" t="str">
        <f ca="1">IFERROR(__xludf.DUMMYFUNCTION("""COMPUTED_VALUE"""),"UP2-RTL15BE-1CUT113")</f>
        <v>UP2-RTL15BE-1CUT113</v>
      </c>
      <c r="D215" s="4" t="str">
        <f ca="1">IFERROR(__xludf.DUMMYFUNCTION("""COMPUTED_VALUE"""),"Переход на Mobile SMARTS: Магазин 15 с ЕГАИС, РАСШИРЕННЫЙ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(один"&amp;") год")</f>
        <v>Переход на Mobile SMARTS: Магазин 15 с ЕГАИС, РАСШИРЕННЫЙ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5" s="4" t="str">
        <f ca="1">IFERROR(__xludf.DUMMYFUNCTION("""COMPUTED_VALUE"""),"Переход на Mobile SMARTS: Магазин 15 с ЕГАИС, РАСШИРЕННЫЙ для «1С: Управление торговлей 11.3»,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Управление торговлей 11.3», для работы с маркированным товаром: алкоголь ЕГАИС и товары по штрихкодам </v>
      </c>
      <c r="F215" s="5">
        <f ca="1">IFERROR(__xludf.DUMMYFUNCTION("""COMPUTED_VALUE"""),8725)</f>
        <v>8725</v>
      </c>
    </row>
    <row r="216" spans="1:6" ht="44.25" customHeight="1" x14ac:dyDescent="0.2">
      <c r="A216" s="4" t="str">
        <f ca="1">IFERROR(__xludf.DUMMYFUNCTION("""COMPUTED_VALUE"""),"«1С: Управление торговлей 11.3»")</f>
        <v>«1С: Управление торговлей 11.3»</v>
      </c>
      <c r="B216" s="4" t="str">
        <f ca="1">IFERROR(__xludf.DUMMYFUNCTION("""COMPUTED_VALUE"""),"с ЕГАИС (без CheckMark2), МЕГАМАРКЕТ")</f>
        <v>с ЕГАИС (без CheckMark2), МЕГАМАРКЕТ</v>
      </c>
      <c r="C216" s="4" t="str">
        <f ca="1">IFERROR(__xludf.DUMMYFUNCTION("""COMPUTED_VALUE"""),"UP2-RTL15CEV-1CUT113")</f>
        <v>UP2-RTL15CEV-1CUT113</v>
      </c>
      <c r="D216" s="4" t="str">
        <f ca="1">IFERROR(__xludf.DUMMYFUNCTION("""COMPUTED_VALUE"""),"Переход на 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ОНЛ"&amp;"АЙН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коллекти"&amp;"вная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Переход на 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6" s="4" t="str">
        <f ca="1">IFERROR(__xludf.DUMMYFUNCTION("""COMPUTED_VALUE"""),"Переход на 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</v>
      </c>
      <c r="F216" s="5">
        <f ca="1">IFERROR(__xludf.DUMMYFUNCTION("""COMPUTED_VALUE"""),11925)</f>
        <v>11925</v>
      </c>
    </row>
    <row r="217" spans="1:6" ht="44.25" customHeight="1" x14ac:dyDescent="0.2">
      <c r="A217" s="4" t="str">
        <f ca="1">IFERROR(__xludf.DUMMYFUNCTION("""COMPUTED_VALUE"""),"«1С: Управление торговлей 11.4»")</f>
        <v>«1С: Управление торговлей 11.4»</v>
      </c>
      <c r="B217" s="4" t="str">
        <f ca="1">IFERROR(__xludf.DUMMYFUNCTION("""COMPUTED_VALUE"""),"МИНИМУМ")</f>
        <v>МИНИМУМ</v>
      </c>
      <c r="C217" s="4" t="str">
        <f ca="1">IFERROR(__xludf.DUMMYFUNCTION("""COMPUTED_VALUE"""),"UP2-RTL15M-1CUT114")</f>
        <v>UP2-RTL15M-1CUT114</v>
      </c>
      <c r="D217" s="4" t="str">
        <f ca="1">IFERROR(__xludf.DUMMYFUNCTION("""COMPUTED_VALUE"""),"Переход на Mobile SMARTS: Магазин 15, МИНИМУМ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просмотр"&amp;"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н"&amp;"а 1 (один) год")</f>
        <v>Переход на Mobile SMARTS: Магазин 15, МИНИМУМ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17" s="4" t="str">
        <f ca="1">IFERROR(__xludf.DUMMYFUNCTION("""COMPUTED_VALUE"""),"Переход на Mobile SMARTS: Магазин 15, МИНИМУМ для «1С: Управление торговлей 11.4», для работы с товаром по штрихкодам ")</f>
        <v xml:space="preserve">Переход на Mobile SMARTS: Магазин 15, МИНИМУМ для «1С: Управление торговлей 11.4», для работы с товаром по штрихкодам </v>
      </c>
      <c r="F217" s="5">
        <f ca="1">IFERROR(__xludf.DUMMYFUNCTION("""COMPUTED_VALUE"""),1725)</f>
        <v>1725</v>
      </c>
    </row>
    <row r="218" spans="1:6" ht="44.25" customHeight="1" x14ac:dyDescent="0.2">
      <c r="A218" s="4" t="str">
        <f ca="1">IFERROR(__xludf.DUMMYFUNCTION("""COMPUTED_VALUE"""),"«1С: Управление торговлей 11.4»")</f>
        <v>«1С: Управление торговлей 11.4»</v>
      </c>
      <c r="B218" s="4" t="str">
        <f ca="1">IFERROR(__xludf.DUMMYFUNCTION("""COMPUTED_VALUE"""),"БАЗОВЫЙ")</f>
        <v>БАЗОВЫЙ</v>
      </c>
      <c r="C218" s="4" t="str">
        <f ca="1">IFERROR(__xludf.DUMMYFUNCTION("""COMPUTED_VALUE"""),"UP2-RTL15A-1CUT114")</f>
        <v>UP2-RTL15A-1CUT114</v>
      </c>
      <c r="D218" s="4" t="str">
        <f ca="1">IFERROR(__xludf.DUMMYFUNCTION("""COMPUTED_VALUE"""),"Переход на Mobile SMARTS: Магазин 15, БАЗОВЫЙ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8" s="4" t="str">
        <f ca="1">IFERROR(__xludf.DUMMYFUNCTION("""COMPUTED_VALUE"""),"Переход на Mobile SMARTS: Магазин 15, БАЗОВЫЙ для «1С: Управление торговлей 11.4», для работы с товаром по штрихкодам ")</f>
        <v xml:space="preserve">Переход на Mobile SMARTS: Магазин 15, БАЗОВЫЙ для «1С: Управление торговлей 11.4», для работы с товаром по штрихкодам </v>
      </c>
      <c r="F218" s="5">
        <f ca="1">IFERROR(__xludf.DUMMYFUNCTION("""COMPUTED_VALUE"""),4325)</f>
        <v>4325</v>
      </c>
    </row>
    <row r="219" spans="1:6" ht="44.25" customHeight="1" x14ac:dyDescent="0.2">
      <c r="A219" s="4" t="str">
        <f ca="1">IFERROR(__xludf.DUMMYFUNCTION("""COMPUTED_VALUE"""),"«1С: Управление торговлей 11.4»")</f>
        <v>«1С: Управление торговлей 11.4»</v>
      </c>
      <c r="B219" s="4" t="str">
        <f ca="1">IFERROR(__xludf.DUMMYFUNCTION("""COMPUTED_VALUE"""),"РАСШИРЕННЫЙ")</f>
        <v>РАСШИРЕННЫЙ</v>
      </c>
      <c r="C219" s="4" t="str">
        <f ca="1">IFERROR(__xludf.DUMMYFUNCTION("""COMPUTED_VALUE"""),"UP2-RTL15B-1CUT114")</f>
        <v>UP2-RTL15B-1CUT114</v>
      </c>
      <c r="D219" s="4" t="str">
        <f ca="1">IFERROR(__xludf.DUMMYFUNCTION("""COMPUTED_VALUE"""),"Переход на Mobile SMARTS: Магазин 15, РАСШИРЕННЫЙ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9" s="4" t="str">
        <f ca="1">IFERROR(__xludf.DUMMYFUNCTION("""COMPUTED_VALUE"""),"Переход на Mobile SMARTS: Магазин 15, РАСШИРЕННЫЙ для «1С: Управление торговлей 11.4», для работы с товаром по штрихкодам ")</f>
        <v xml:space="preserve">Переход на Mobile SMARTS: Магазин 15, РАСШИРЕННЫЙ для «1С: Управление торговлей 11.4», для работы с товаром по штрихкодам </v>
      </c>
      <c r="F219" s="5">
        <f ca="1">IFERROR(__xludf.DUMMYFUNCTION("""COMPUTED_VALUE"""),7525)</f>
        <v>7525</v>
      </c>
    </row>
    <row r="220" spans="1:6" ht="44.25" customHeight="1" x14ac:dyDescent="0.2">
      <c r="A220" s="4" t="str">
        <f ca="1">IFERROR(__xludf.DUMMYFUNCTION("""COMPUTED_VALUE"""),"«1С: Управление торговлей 11.4»")</f>
        <v>«1С: Управление торговлей 11.4»</v>
      </c>
      <c r="B220" s="4" t="str">
        <f ca="1">IFERROR(__xludf.DUMMYFUNCTION("""COMPUTED_VALUE"""),"МЕГАМАРКЕТ")</f>
        <v>МЕГАМАРКЕТ</v>
      </c>
      <c r="C220" s="4" t="str">
        <f ca="1">IFERROR(__xludf.DUMMYFUNCTION("""COMPUTED_VALUE"""),"UP2-RTL15C-1CUT114")</f>
        <v>UP2-RTL15C-1CUT114</v>
      </c>
      <c r="D220" s="4" t="str">
        <f ca="1">IFERROR(__xludf.DUMMYFUNCTION("""COMPUTED_VALUE"""),"Переход на Mobile SMARTS: Магазин 15, МЕГАМАРКЕТ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0" s="4" t="str">
        <f ca="1">IFERROR(__xludf.DUMMYFUNCTION("""COMPUTED_VALUE"""),"Переход на Mobile SMARTS: Магазин 15, МЕГАМАРКЕТ для «1С: Управление торговлей 11.4», для работы с товаром по штрихкодам ")</f>
        <v xml:space="preserve">Переход на Mobile SMARTS: Магазин 15, МЕГАМАРКЕТ для «1С: Управление торговлей 11.4», для работы с товаром по штрихкодам </v>
      </c>
      <c r="F220" s="5">
        <f ca="1">IFERROR(__xludf.DUMMYFUNCTION("""COMPUTED_VALUE"""),10775)</f>
        <v>10775</v>
      </c>
    </row>
    <row r="221" spans="1:6" ht="44.25" customHeight="1" x14ac:dyDescent="0.2">
      <c r="A221" s="4" t="str">
        <f ca="1">IFERROR(__xludf.DUMMYFUNCTION("""COMPUTED_VALUE"""),"«1С: Управление торговлей 11.4»")</f>
        <v>«1С: Управление торговлей 11.4»</v>
      </c>
      <c r="B221" s="4" t="str">
        <f ca="1">IFERROR(__xludf.DUMMYFUNCTION("""COMPUTED_VALUE"""),"с ЕГАИС, БАЗОВЫЙ")</f>
        <v>с ЕГАИС, БАЗОВЫЙ</v>
      </c>
      <c r="C221" s="4" t="str">
        <f ca="1">IFERROR(__xludf.DUMMYFUNCTION("""COMPUTED_VALUE"""),"UP2-RTL15AE-1CUT114")</f>
        <v>UP2-RTL15AE-1CUT114</v>
      </c>
      <c r="D221" s="4" t="str">
        <f ca="1">IFERROR(__xludf.DUMMYFUNCTION("""COMPUTED_VALUE"""),"Переход на Mobile SMARTS: Магазин 15 с ЕГАИС, БАЗОВЫЙ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опер"&amp;"ации: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принтер,"&amp;"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21" s="4" t="str">
        <f ca="1">IFERROR(__xludf.DUMMYFUNCTION("""COMPUTED_VALUE"""),"Переход на Mobile SMARTS: Магазин 15 с ЕГАИС, БАЗОВЫЙ для «1С: Управление торговлей 11.4», для работы с маркированным товаром: алкоголь ЕГАИС и товары по штрихкодам ")</f>
        <v xml:space="preserve">Переход на Mobile SMARTS: Магазин 15 с ЕГАИС, БАЗОВЫЙ для «1С: Управление торговлей 11.4», для работы с маркированным товаром: алкоголь ЕГАИС и товары по штрихкодам </v>
      </c>
      <c r="F221" s="5">
        <f ca="1">IFERROR(__xludf.DUMMYFUNCTION("""COMPUTED_VALUE"""),5500)</f>
        <v>5500</v>
      </c>
    </row>
    <row r="222" spans="1:6" ht="44.25" customHeight="1" x14ac:dyDescent="0.2">
      <c r="A222" s="4" t="str">
        <f ca="1">IFERROR(__xludf.DUMMYFUNCTION("""COMPUTED_VALUE"""),"«1С: Управление торговлей 11.4»")</f>
        <v>«1С: Управление торговлей 11.4»</v>
      </c>
      <c r="B222" s="4" t="str">
        <f ca="1">IFERROR(__xludf.DUMMYFUNCTION("""COMPUTED_VALUE"""),"с ЕГАИС, РАСШИРЕННЫЙ")</f>
        <v>с ЕГАИС, РАСШИРЕННЫЙ</v>
      </c>
      <c r="C222" s="4" t="str">
        <f ca="1">IFERROR(__xludf.DUMMYFUNCTION("""COMPUTED_VALUE"""),"UP2-RTL15BE-1CUT114")</f>
        <v>UP2-RTL15BE-1CUT114</v>
      </c>
      <c r="D222" s="4" t="str">
        <f ca="1">IFERROR(__xludf.DUMMYFUNCTION("""COMPUTED_VALUE"""),"Переход на Mobile SMARTS: Магазин 15 с ЕГАИС, РАСШИРЕННЫЙ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(один"&amp;") год")</f>
        <v>Переход на Mobile SMARTS: Магазин 15 с ЕГАИС, РАСШИРЕННЫЙ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2" s="4" t="str">
        <f ca="1">IFERROR(__xludf.DUMMYFUNCTION("""COMPUTED_VALUE"""),"Переход на Mobile SMARTS: Магазин 15 с ЕГАИС, РАСШИРЕННЫЙ для «1С: Управление торговлей 11.4»,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Управление торговлей 11.4», для работы с маркированным товаром: алкоголь ЕГАИС и товары по штрихкодам </v>
      </c>
      <c r="F222" s="5">
        <f ca="1">IFERROR(__xludf.DUMMYFUNCTION("""COMPUTED_VALUE"""),8725)</f>
        <v>8725</v>
      </c>
    </row>
    <row r="223" spans="1:6" ht="44.25" customHeight="1" x14ac:dyDescent="0.2">
      <c r="A223" s="4" t="str">
        <f ca="1">IFERROR(__xludf.DUMMYFUNCTION("""COMPUTED_VALUE"""),"«1С: Управление торговлей 11.4»")</f>
        <v>«1С: Управление торговлей 11.4»</v>
      </c>
      <c r="B223" s="4" t="str">
        <f ca="1">IFERROR(__xludf.DUMMYFUNCTION("""COMPUTED_VALUE"""),"с ЕГАИС (без CheckMark2), МЕГАМАРКЕТ")</f>
        <v>с ЕГАИС (без CheckMark2), МЕГАМАРКЕТ</v>
      </c>
      <c r="C223" s="4" t="str">
        <f ca="1">IFERROR(__xludf.DUMMYFUNCTION("""COMPUTED_VALUE"""),"UP2-RTL15CEV-1CUT114")</f>
        <v>UP2-RTL15CEV-1CUT114</v>
      </c>
      <c r="D223" s="4" t="str">
        <f ca="1">IFERROR(__xludf.DUMMYFUNCTION("""COMPUTED_VALUE"""),"Переход на 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ОНЛ"&amp;"АЙН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коллекти"&amp;"вная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Переход на 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3" s="4" t="str">
        <f ca="1">IFERROR(__xludf.DUMMYFUNCTION("""COMPUTED_VALUE"""),"Переход на 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</v>
      </c>
      <c r="F223" s="5">
        <f ca="1">IFERROR(__xludf.DUMMYFUNCTION("""COMPUTED_VALUE"""),11925)</f>
        <v>11925</v>
      </c>
    </row>
    <row r="224" spans="1:6" ht="44.25" customHeight="1" x14ac:dyDescent="0.2">
      <c r="A224" s="4" t="str">
        <f ca="1">IFERROR(__xludf.DUMMYFUNCTION("""COMPUTED_VALUE"""),"«1С: Управление торговлей 11.4.10»")</f>
        <v>«1С: Управление торговлей 11.4.10»</v>
      </c>
      <c r="B224" s="4" t="str">
        <f ca="1">IFERROR(__xludf.DUMMYFUNCTION("""COMPUTED_VALUE"""),"с МОТП, БАЗОВЫЙ")</f>
        <v>с МОТП, БАЗОВЫЙ</v>
      </c>
      <c r="C224" s="4" t="str">
        <f ca="1">IFERROR(__xludf.DUMMYFUNCTION("""COMPUTED_VALUE"""),"UP2-RTL15AT-1CUT114")</f>
        <v>UP2-RTL15AT-1CUT114</v>
      </c>
      <c r="D224" s="4" t="str">
        <f ca="1">IFERROR(__xludf.DUMMYFUNCTION("""COMPUTED_VALUE"""),"Переход на Mobile SMARTS: Магазин 15 с МОТП, БАЗОВЫЙ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п"&amp;"оступление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4" s="4" t="str">
        <f ca="1">IFERROR(__xludf.DUMMYFUNCTION("""COMPUTED_VALUE"""),"Переход на Mobile SMARTS: Магазин 15 с МОТП, БАЗОВЫЙ для «1С: Управление торговлей 11.4.10», для работы с маркированным товаром: ТАБАК и товары по штрихкодам ")</f>
        <v xml:space="preserve">Переход на Mobile SMARTS: Магазин 15 с МОТП, БАЗОВЫЙ для «1С: Управление торговлей 11.4.10», для работы с маркированным товаром: ТАБАК и товары по штрихкодам </v>
      </c>
      <c r="F224" s="5">
        <f ca="1">IFERROR(__xludf.DUMMYFUNCTION("""COMPUTED_VALUE"""),5575)</f>
        <v>5575</v>
      </c>
    </row>
    <row r="225" spans="1:6" ht="44.25" customHeight="1" x14ac:dyDescent="0.2">
      <c r="A225" s="4" t="str">
        <f ca="1">IFERROR(__xludf.DUMMYFUNCTION("""COMPUTED_VALUE"""),"«1С: Управление торговлей 11.4.10»")</f>
        <v>«1С: Управление торговлей 11.4.10»</v>
      </c>
      <c r="B225" s="4" t="str">
        <f ca="1">IFERROR(__xludf.DUMMYFUNCTION("""COMPUTED_VALUE"""),"с МОТП, РАСШИРЕННЫЙ")</f>
        <v>с МОТП, РАСШИРЕННЫЙ</v>
      </c>
      <c r="C225" s="4" t="str">
        <f ca="1">IFERROR(__xludf.DUMMYFUNCTION("""COMPUTED_VALUE"""),"UP2-RTL15BT-1CUT114")</f>
        <v>UP2-RTL15BT-1CUT114</v>
      </c>
      <c r="D225" s="4" t="str">
        <f ca="1">IFERROR(__xludf.DUMMYFUNCTION("""COMPUTED_VALUE"""),"Переход на Mobile SMARTS: Магазин 15 с МОТП, РАСШИРЕННЫЙ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операци"&amp;"и: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Переход на Mobile SMARTS: Магазин 15 с МОТП, РАСШИРЕННЫЙ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5" s="4" t="str">
        <f ca="1">IFERROR(__xludf.DUMMYFUNCTION("""COMPUTED_VALUE"""),"Переход на Mobile SMARTS: Магазин 15 с МОТП, РАСШИРЕННЫЙ для «1С: Управление торговлей 11.4.10», для работы с маркированным товаром: ТАБАК и товары по штрихкодам ")</f>
        <v xml:space="preserve">Переход на Mobile SMARTS: Магазин 15 с МОТП, РАСШИРЕННЫЙ для «1С: Управление торговлей 11.4.10», для работы с маркированным товаром: ТАБАК и товары по штрихкодам </v>
      </c>
      <c r="F225" s="5">
        <f ca="1">IFERROR(__xludf.DUMMYFUNCTION("""COMPUTED_VALUE"""),8725)</f>
        <v>8725</v>
      </c>
    </row>
    <row r="226" spans="1:6" ht="44.25" customHeight="1" x14ac:dyDescent="0.2">
      <c r="A226" s="4" t="str">
        <f ca="1">IFERROR(__xludf.DUMMYFUNCTION("""COMPUTED_VALUE"""),"«1С: Управление торговлей 11.4.10»")</f>
        <v>«1С: Управление торговлей 11.4.10»</v>
      </c>
      <c r="B226" s="4" t="str">
        <f ca="1">IFERROR(__xludf.DUMMYFUNCTION("""COMPUTED_VALUE"""),"с МОТП, МЕГАМАРКЕТ")</f>
        <v>с МОТП, МЕГАМАРКЕТ</v>
      </c>
      <c r="C226" s="4" t="str">
        <f ca="1">IFERROR(__xludf.DUMMYFUNCTION("""COMPUTED_VALUE"""),"UP2-RTL15CT-1CUT114")</f>
        <v>UP2-RTL15CT-1CUT114</v>
      </c>
      <c r="D226" s="4" t="str">
        <f ca="1">IFERROR(__xludf.DUMMYFUNCTION("""COMPUTED_VALUE"""),"Переход на Mobile SMARTS: Магазин 15 с МОТП, МЕГАМАРКЕТ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операции"&amp;":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возможност"&amp;"и: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"&amp;"Интернет на 1 (один) год")</f>
        <v>Переход на Mobile SMARTS: Магазин 15 с МОТП, МЕГАМАРКЕТ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6" s="4" t="str">
        <f ca="1">IFERROR(__xludf.DUMMYFUNCTION("""COMPUTED_VALUE"""),"Переход на Mobile SMARTS: Магазин 15 с МОТП, МЕГАМАРКЕТ для «1С: Управление торговлей 11.4.10», для работы с маркированным товаром: ТАБАК и товары по штрихкодам ")</f>
        <v xml:space="preserve">Переход на Mobile SMARTS: Магазин 15 с МОТП, МЕГАМАРКЕТ для «1С: Управление торговлей 11.4.10», для работы с маркированным товаром: ТАБАК и товары по штрихкодам </v>
      </c>
      <c r="F226" s="5">
        <f ca="1">IFERROR(__xludf.DUMMYFUNCTION("""COMPUTED_VALUE"""),11925)</f>
        <v>11925</v>
      </c>
    </row>
    <row r="227" spans="1:6" ht="44.25" customHeight="1" x14ac:dyDescent="0.2">
      <c r="A227" s="4" t="str">
        <f ca="1">IFERROR(__xludf.DUMMYFUNCTION("""COMPUTED_VALUE"""),"«1С: Управление торговлей 11.4.10»")</f>
        <v>«1С: Управление торговлей 11.4.10»</v>
      </c>
      <c r="B227" s="4" t="str">
        <f ca="1">IFERROR(__xludf.DUMMYFUNCTION("""COMPUTED_VALUE"""),"с ЕГАИС и МОТП, БАЗОВЫЙ")</f>
        <v>с ЕГАИС и МОТП, БАЗОВЫЙ</v>
      </c>
      <c r="C227" s="4" t="str">
        <f ca="1">IFERROR(__xludf.DUMMYFUNCTION("""COMPUTED_VALUE"""),"UP2-RTL15AET-1CUT114")</f>
        <v>UP2-RTL15AET-1CUT114</v>
      </c>
      <c r="D227" s="4" t="str">
        <f ca="1">IFERROR(__xludf.DUMMYFUNCTION("""COMPUTED_VALUE"""),"Переход на Mobile SMARTS: Магазин 15 с ЕГАИС и МОТП, БАЗОВЫЙ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дос"&amp;"тупные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перемещен"&amp;"ие,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"&amp;"операций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7" s="4" t="str">
        <f ca="1">IFERROR(__xludf.DUMMYFUNCTION("""COMPUTED_VALUE"""),"Переход на Mobile SMARTS: Магазин 15 с ЕГАИС и МОТП, БАЗОВЫЙ для «1С: Управление торговлей 11.4.10»,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Управление торговлей 11.4.10», для работы с маркированным товаром: АЛКОГОЛЬ, ТАБАК и товары по штрихкодам </v>
      </c>
      <c r="F227" s="5">
        <f ca="1">IFERROR(__xludf.DUMMYFUNCTION("""COMPUTED_VALUE"""),6075)</f>
        <v>6075</v>
      </c>
    </row>
    <row r="228" spans="1:6" ht="44.25" customHeight="1" x14ac:dyDescent="0.2">
      <c r="A228" s="4" t="str">
        <f ca="1">IFERROR(__xludf.DUMMYFUNCTION("""COMPUTED_VALUE"""),"«1С: Управление торговлей 11.4.10»")</f>
        <v>«1С: Управление торговлей 11.4.10»</v>
      </c>
      <c r="B228" s="4" t="str">
        <f ca="1">IFERROR(__xludf.DUMMYFUNCTION("""COMPUTED_VALUE"""),"с ЕГАИС и МОТП, РАСШИРЕННЫЙ")</f>
        <v>с ЕГАИС и МОТП, РАСШИРЕННЫЙ</v>
      </c>
      <c r="C228" s="4" t="str">
        <f ca="1">IFERROR(__xludf.DUMMYFUNCTION("""COMPUTED_VALUE"""),"UP2-RTL15BET-1CUT114")</f>
        <v>UP2-RTL15BET-1CUT114</v>
      </c>
      <c r="D228" s="4" t="str">
        <f ca="1">IFERROR(__xludf.DUMMYFUNCTION("""COMPUTED_VALUE"""),"Переход на 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8" s="4" t="str">
        <f ca="1">IFERROR(__xludf.DUMMYFUNCTION("""COMPUTED_VALUE"""),"Переход на 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</v>
      </c>
      <c r="F228" s="5">
        <f ca="1">IFERROR(__xludf.DUMMYFUNCTION("""COMPUTED_VALUE"""),9275)</f>
        <v>9275</v>
      </c>
    </row>
    <row r="229" spans="1:6" ht="44.25" customHeight="1" x14ac:dyDescent="0.2">
      <c r="A229" s="4" t="str">
        <f ca="1">IFERROR(__xludf.DUMMYFUNCTION("""COMPUTED_VALUE"""),"«1С: Управление торговлей 11.4.10»")</f>
        <v>«1С: Управление торговлей 11.4.10»</v>
      </c>
      <c r="B229" s="4" t="str">
        <f ca="1">IFERROR(__xludf.DUMMYFUNCTION("""COMPUTED_VALUE"""),"с ЕГАИС и МОТП, МЕГАМАРКЕТ")</f>
        <v>с ЕГАИС и МОТП, МЕГАМАРКЕТ</v>
      </c>
      <c r="C229" s="4" t="str">
        <f ca="1">IFERROR(__xludf.DUMMYFUNCTION("""COMPUTED_VALUE"""),"UP2-RTL15CET-1CUT114")</f>
        <v>UP2-RTL15CET-1CUT114</v>
      </c>
      <c r="D229" s="4" t="str">
        <f ca="1">IFERROR(__xludf.DUMMYFUNCTION("""COMPUTED_VALUE"""),"Переход на 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 "&amp;"доступные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переме"&amp;"щение,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9" s="4" t="str">
        <f ca="1">IFERROR(__xludf.DUMMYFUNCTION("""COMPUTED_VALUE"""),"Переход на 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</v>
      </c>
      <c r="F229" s="5">
        <f ca="1">IFERROR(__xludf.DUMMYFUNCTION("""COMPUTED_VALUE"""),13175)</f>
        <v>13175</v>
      </c>
    </row>
    <row r="230" spans="1:6" ht="44.25" customHeight="1" x14ac:dyDescent="0.2">
      <c r="A230" s="4" t="str">
        <f ca="1">IFERROR(__xludf.DUMMYFUNCTION("""COMPUTED_VALUE"""),"«1С: Управление торговлей 11.4.10»")</f>
        <v>«1С: Управление торговлей 11.4.10»</v>
      </c>
      <c r="B230" s="4" t="str">
        <f ca="1">IFERROR(__xludf.DUMMYFUNCTION("""COMPUTED_VALUE"""),"ШМОТКИ, БАЗОВЫЙ")</f>
        <v>ШМОТКИ, БАЗОВЫЙ</v>
      </c>
      <c r="C230" s="4" t="str">
        <f ca="1">IFERROR(__xludf.DUMMYFUNCTION("""COMPUTED_VALUE"""),"UP2-RTL15AK-1CUT114")</f>
        <v>UP2-RTL15AK-1CUT114</v>
      </c>
      <c r="D230" s="4" t="str">
        <f ca="1">IFERROR(__xludf.DUMMYFUNCTION("""COMPUTED_VALUE"""),"Переход на 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Ин"&amp;"тернет на 1 (один) год")</f>
        <v>Переход на 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0" s="4" t="str">
        <f ca="1">IFERROR(__xludf.DUMMYFUNCTION("""COMPUTED_VALUE"""),"Переход на 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</v>
      </c>
      <c r="F230" s="5">
        <f ca="1">IFERROR(__xludf.DUMMYFUNCTION("""COMPUTED_VALUE"""),6075)</f>
        <v>6075</v>
      </c>
    </row>
    <row r="231" spans="1:6" ht="44.25" customHeight="1" x14ac:dyDescent="0.2">
      <c r="A231" s="4" t="str">
        <f ca="1">IFERROR(__xludf.DUMMYFUNCTION("""COMPUTED_VALUE"""),"«1С: Управление торговлей 11.4.10»")</f>
        <v>«1С: Управление торговлей 11.4.10»</v>
      </c>
      <c r="B231" s="4" t="str">
        <f ca="1">IFERROR(__xludf.DUMMYFUNCTION("""COMPUTED_VALUE"""),"ШМОТКИ, РАСШИРЕННЫЙ")</f>
        <v>ШМОТКИ, РАСШИРЕННЫЙ</v>
      </c>
      <c r="C231" s="4" t="str">
        <f ca="1">IFERROR(__xludf.DUMMYFUNCTION("""COMPUTED_VALUE"""),"UP2-RTL15BK-1CUT114")</f>
        <v>UP2-RTL15BK-1CUT114</v>
      </c>
      <c r="D231" s="4" t="str">
        <f ca="1">IFERROR(__xludf.DUMMYFUNCTION("""COMPUTED_VALUE"""),"Переход на 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Переход на 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1" s="4" t="str">
        <f ca="1">IFERROR(__xludf.DUMMYFUNCTION("""COMPUTED_VALUE"""),"Переход на 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</v>
      </c>
      <c r="F231" s="5">
        <f ca="1">IFERROR(__xludf.DUMMYFUNCTION("""COMPUTED_VALUE"""),9275)</f>
        <v>9275</v>
      </c>
    </row>
    <row r="232" spans="1:6" ht="44.25" customHeight="1" x14ac:dyDescent="0.2">
      <c r="A232" s="4" t="str">
        <f ca="1">IFERROR(__xludf.DUMMYFUNCTION("""COMPUTED_VALUE"""),"«1С: Управление торговлей 11.4.10»")</f>
        <v>«1С: Управление торговлей 11.4.10»</v>
      </c>
      <c r="B232" s="4" t="str">
        <f ca="1">IFERROR(__xludf.DUMMYFUNCTION("""COMPUTED_VALUE"""),"ШМОТКИ, МЕГАМАРКЕТ")</f>
        <v>ШМОТКИ, МЕГАМАРКЕТ</v>
      </c>
      <c r="C232" s="4" t="str">
        <f ca="1">IFERROR(__xludf.DUMMYFUNCTION("""COMPUTED_VALUE"""),"UP2-RTL15CK-1CUT114")</f>
        <v>UP2-RTL15CK-1CUT114</v>
      </c>
      <c r="D232" s="4" t="str">
        <f ca="1">IFERROR(__xludf.DUMMYFUNCTION("""COMPUTED_VALUE"""),"Переход на 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Переход на 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2" s="4" t="str">
        <f ca="1">IFERROR(__xludf.DUMMYFUNCTION("""COMPUTED_VALUE"""),"Переход на 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</v>
      </c>
      <c r="F232" s="5">
        <f ca="1">IFERROR(__xludf.DUMMYFUNCTION("""COMPUTED_VALUE"""),13175)</f>
        <v>13175</v>
      </c>
    </row>
    <row r="233" spans="1:6" ht="44.25" customHeight="1" x14ac:dyDescent="0.2">
      <c r="A233" s="4" t="str">
        <f ca="1">IFERROR(__xludf.DUMMYFUNCTION("""COMPUTED_VALUE"""),"«1С: Управление торговлей 11.4.10»")</f>
        <v>«1С: Управление торговлей 11.4.10»</v>
      </c>
      <c r="B233" s="4" t="str">
        <f ca="1">IFERROR(__xludf.DUMMYFUNCTION("""COMPUTED_VALUE"""),"ПРОДУКТОВЫЙ, БАЗОВЫЙ")</f>
        <v>ПРОДУКТОВЫЙ, БАЗОВЫЙ</v>
      </c>
      <c r="C233" s="4" t="str">
        <f ca="1">IFERROR(__xludf.DUMMYFUNCTION("""COMPUTED_VALUE"""),"UP2-RTL15AG-1CUT114")</f>
        <v>UP2-RTL15AG-1CUT114</v>
      </c>
      <c r="D233" s="4" t="str">
        <f ca="1">IFERROR(__xludf.DUMMYFUNCTION("""COMPUTED_VALUE"""),"Переход на 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беспроводной"&amp;"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под"&amp;"бор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остатка"&amp;"х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3" s="4" t="str">
        <f ca="1">IFERROR(__xludf.DUMMYFUNCTION("""COMPUTED_VALUE"""),"Переход на 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</v>
      </c>
      <c r="F233" s="5">
        <f ca="1">IFERROR(__xludf.DUMMYFUNCTION("""COMPUTED_VALUE"""),7275)</f>
        <v>7275</v>
      </c>
    </row>
    <row r="234" spans="1:6" ht="44.25" customHeight="1" x14ac:dyDescent="0.2">
      <c r="A234" s="4" t="str">
        <f ca="1">IFERROR(__xludf.DUMMYFUNCTION("""COMPUTED_VALUE"""),"«1С: Управление торговлей 11.4.10»")</f>
        <v>«1С: Управление торговлей 11.4.10»</v>
      </c>
      <c r="B234" s="4" t="str">
        <f ca="1">IFERROR(__xludf.DUMMYFUNCTION("""COMPUTED_VALUE"""),"ПРОДУКТОВЫЙ, РАСШИРЕННЫЙ")</f>
        <v>ПРОДУКТОВЫЙ, РАСШИРЕННЫЙ</v>
      </c>
      <c r="C234" s="4" t="str">
        <f ca="1">IFERROR(__xludf.DUMMYFUNCTION("""COMPUTED_VALUE"""),"UP2-RTL15BG-1CUT114")</f>
        <v>UP2-RTL15BG-1CUT114</v>
      </c>
      <c r="D234" s="4" t="str">
        <f ca="1">IFERROR(__xludf.DUMMYFUNCTION("""COMPUTED_VALUE"""),"Переход на 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беспрово"&amp;"дной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возврат,"&amp;"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ост"&amp;"атках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4" s="4" t="str">
        <f ca="1">IFERROR(__xludf.DUMMYFUNCTION("""COMPUTED_VALUE"""),"Переход на 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</v>
      </c>
      <c r="F234" s="5">
        <f ca="1">IFERROR(__xludf.DUMMYFUNCTION("""COMPUTED_VALUE"""),10475)</f>
        <v>10475</v>
      </c>
    </row>
    <row r="235" spans="1:6" ht="44.25" customHeight="1" x14ac:dyDescent="0.2">
      <c r="A235" s="4" t="str">
        <f ca="1">IFERROR(__xludf.DUMMYFUNCTION("""COMPUTED_VALUE"""),"«1С: Управление торговлей 11.4.10»")</f>
        <v>«1С: Управление торговлей 11.4.10»</v>
      </c>
      <c r="B235" s="4" t="str">
        <f ca="1">IFERROR(__xludf.DUMMYFUNCTION("""COMPUTED_VALUE"""),"ПРОДУКТОВЫЙ, МЕГАМАРКЕТ")</f>
        <v>ПРОДУКТОВЫЙ, МЕГАМАРКЕТ</v>
      </c>
      <c r="C235" s="4" t="str">
        <f ca="1">IFERROR(__xludf.DUMMYFUNCTION("""COMPUTED_VALUE"""),"UP2-RTL15CG-1CUT114")</f>
        <v>UP2-RTL15CG-1CUT114</v>
      </c>
      <c r="D235" s="4" t="str">
        <f ca="1">IFERROR(__xludf.DUMMYFUNCTION("""COMPUTED_VALUE"""),"Переход на 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беспровод"&amp;"ной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"&amp;"подбор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склада"&amp;"х,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5" s="4" t="str">
        <f ca="1">IFERROR(__xludf.DUMMYFUNCTION("""COMPUTED_VALUE"""),"Переход на 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</v>
      </c>
      <c r="F235" s="5">
        <f ca="1">IFERROR(__xludf.DUMMYFUNCTION("""COMPUTED_VALUE"""),14125)</f>
        <v>14125</v>
      </c>
    </row>
    <row r="236" spans="1:6" ht="44.25" customHeight="1" x14ac:dyDescent="0.2">
      <c r="A236" s="4" t="str">
        <f ca="1">IFERROR(__xludf.DUMMYFUNCTION("""COMPUTED_VALUE"""),"«1С: Управление торговлей 11.5»")</f>
        <v>«1С: Управление торговлей 11.5»</v>
      </c>
      <c r="B236" s="4" t="str">
        <f ca="1">IFERROR(__xludf.DUMMYFUNCTION("""COMPUTED_VALUE"""),"МИНИМУМ")</f>
        <v>МИНИМУМ</v>
      </c>
      <c r="C236" s="4" t="str">
        <f ca="1">IFERROR(__xludf.DUMMYFUNCTION("""COMPUTED_VALUE"""),"UP2-RTL15M-1CUT115")</f>
        <v>UP2-RTL15M-1CUT115</v>
      </c>
      <c r="D236" s="4" t="str">
        <f ca="1">IFERROR(__xludf.DUMMYFUNCTION("""COMPUTED_VALUE"""),"Переход на Mobile SMARTS: Магазин 15, МИНИМУМ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просмотр"&amp;"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н"&amp;"а 1 (один) год")</f>
        <v>Переход на Mobile SMARTS: Магазин 15, МИНИМУМ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36" s="4" t="str">
        <f ca="1">IFERROR(__xludf.DUMMYFUNCTION("""COMPUTED_VALUE"""),"Переход на Mobile SMARTS: Магазин 15, МИНИМУМ для «1С: Управление торговлей 11.5», для работы с товаром по штрихкодам ")</f>
        <v xml:space="preserve">Переход на Mobile SMARTS: Магазин 15, МИНИМУМ для «1С: Управление торговлей 11.5», для работы с товаром по штрихкодам </v>
      </c>
      <c r="F236" s="5">
        <f ca="1">IFERROR(__xludf.DUMMYFUNCTION("""COMPUTED_VALUE"""),1725)</f>
        <v>1725</v>
      </c>
    </row>
    <row r="237" spans="1:6" ht="44.25" customHeight="1" x14ac:dyDescent="0.2">
      <c r="A237" s="4" t="str">
        <f ca="1">IFERROR(__xludf.DUMMYFUNCTION("""COMPUTED_VALUE"""),"«1С: Управление торговлей 11.5»")</f>
        <v>«1С: Управление торговлей 11.5»</v>
      </c>
      <c r="B237" s="4" t="str">
        <f ca="1">IFERROR(__xludf.DUMMYFUNCTION("""COMPUTED_VALUE"""),"БАЗОВЫЙ")</f>
        <v>БАЗОВЫЙ</v>
      </c>
      <c r="C237" s="4" t="str">
        <f ca="1">IFERROR(__xludf.DUMMYFUNCTION("""COMPUTED_VALUE"""),"UP2-RTL15A-1CUT115")</f>
        <v>UP2-RTL15A-1CUT115</v>
      </c>
      <c r="D237" s="4" t="str">
        <f ca="1">IFERROR(__xludf.DUMMYFUNCTION("""COMPUTED_VALUE"""),"Переход на Mobile SMARTS: Магазин 15, БАЗОВЫЙ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7" s="4" t="str">
        <f ca="1">IFERROR(__xludf.DUMMYFUNCTION("""COMPUTED_VALUE"""),"Переход на Mobile SMARTS: Магазин 15, БАЗОВЫЙ для «1С: Управление торговлей 11.5», для работы с товаром по штрихкодам ")</f>
        <v xml:space="preserve">Переход на Mobile SMARTS: Магазин 15, БАЗОВЫЙ для «1С: Управление торговлей 11.5», для работы с товаром по штрихкодам </v>
      </c>
      <c r="F237" s="5">
        <f ca="1">IFERROR(__xludf.DUMMYFUNCTION("""COMPUTED_VALUE"""),4325)</f>
        <v>4325</v>
      </c>
    </row>
    <row r="238" spans="1:6" ht="44.25" customHeight="1" x14ac:dyDescent="0.2">
      <c r="A238" s="4" t="str">
        <f ca="1">IFERROR(__xludf.DUMMYFUNCTION("""COMPUTED_VALUE"""),"«1С: Управление торговлей 11.5»")</f>
        <v>«1С: Управление торговлей 11.5»</v>
      </c>
      <c r="B238" s="4" t="str">
        <f ca="1">IFERROR(__xludf.DUMMYFUNCTION("""COMPUTED_VALUE"""),"РАСШИРЕННЫЙ")</f>
        <v>РАСШИРЕННЫЙ</v>
      </c>
      <c r="C238" s="4" t="str">
        <f ca="1">IFERROR(__xludf.DUMMYFUNCTION("""COMPUTED_VALUE"""),"UP2-RTL15B-1CUT115")</f>
        <v>UP2-RTL15B-1CUT115</v>
      </c>
      <c r="D238" s="4" t="str">
        <f ca="1">IFERROR(__xludf.DUMMYFUNCTION("""COMPUTED_VALUE"""),"Переход на Mobile SMARTS: Магазин 15, РАСШИРЕННЫЙ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8" s="4" t="str">
        <f ca="1">IFERROR(__xludf.DUMMYFUNCTION("""COMPUTED_VALUE"""),"Переход на Mobile SMARTS: Магазин 15, РАСШИРЕННЫЙ для «1С: Управление торговлей 11.5», для работы с товаром по штрихкодам ")</f>
        <v xml:space="preserve">Переход на Mobile SMARTS: Магазин 15, РАСШИРЕННЫЙ для «1С: Управление торговлей 11.5», для работы с товаром по штрихкодам </v>
      </c>
      <c r="F238" s="5">
        <f ca="1">IFERROR(__xludf.DUMMYFUNCTION("""COMPUTED_VALUE"""),7525)</f>
        <v>7525</v>
      </c>
    </row>
    <row r="239" spans="1:6" ht="44.25" customHeight="1" x14ac:dyDescent="0.2">
      <c r="A239" s="4" t="str">
        <f ca="1">IFERROR(__xludf.DUMMYFUNCTION("""COMPUTED_VALUE"""),"«1С: Управление торговлей 11.5»")</f>
        <v>«1С: Управление торговлей 11.5»</v>
      </c>
      <c r="B239" s="4" t="str">
        <f ca="1">IFERROR(__xludf.DUMMYFUNCTION("""COMPUTED_VALUE"""),"МЕГАМАРКЕТ")</f>
        <v>МЕГАМАРКЕТ</v>
      </c>
      <c r="C239" s="4" t="str">
        <f ca="1">IFERROR(__xludf.DUMMYFUNCTION("""COMPUTED_VALUE"""),"UP2-RTL15C-1CUT115")</f>
        <v>UP2-RTL15C-1CUT115</v>
      </c>
      <c r="D239" s="4" t="str">
        <f ca="1">IFERROR(__xludf.DUMMYFUNCTION("""COMPUTED_VALUE"""),"Переход на Mobile SMARTS: Магазин 15, МЕГАМАРКЕТ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9" s="4" t="str">
        <f ca="1">IFERROR(__xludf.DUMMYFUNCTION("""COMPUTED_VALUE"""),"Переход на Mobile SMARTS: Магазин 15, МЕГАМАРКЕТ для «1С: Управление торговлей 11.5», для работы с товаром по штрихкодам ")</f>
        <v xml:space="preserve">Переход на Mobile SMARTS: Магазин 15, МЕГАМАРКЕТ для «1С: Управление торговлей 11.5», для работы с товаром по штрихкодам </v>
      </c>
      <c r="F239" s="5">
        <f ca="1">IFERROR(__xludf.DUMMYFUNCTION("""COMPUTED_VALUE"""),10775)</f>
        <v>10775</v>
      </c>
    </row>
    <row r="240" spans="1:6" ht="44.25" customHeight="1" x14ac:dyDescent="0.2">
      <c r="A240" s="4" t="str">
        <f ca="1">IFERROR(__xludf.DUMMYFUNCTION("""COMPUTED_VALUE"""),"«1С: Управление торговлей 11.5»")</f>
        <v>«1С: Управление торговлей 11.5»</v>
      </c>
      <c r="B240" s="4" t="str">
        <f ca="1">IFERROR(__xludf.DUMMYFUNCTION("""COMPUTED_VALUE"""),"с ЕГАИС, БАЗОВЫЙ")</f>
        <v>с ЕГАИС, БАЗОВЫЙ</v>
      </c>
      <c r="C240" s="4" t="str">
        <f ca="1">IFERROR(__xludf.DUMMYFUNCTION("""COMPUTED_VALUE"""),"UP2-RTL15AE-1CUT115")</f>
        <v>UP2-RTL15AE-1CUT115</v>
      </c>
      <c r="D240" s="4" t="str">
        <f ca="1">IFERROR(__xludf.DUMMYFUNCTION("""COMPUTED_VALUE"""),"Переход на Mobile SMARTS: Магазин 15 с ЕГАИС, БАЗОВЫЙ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опер"&amp;"ации: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принтер,"&amp;"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40" s="4" t="str">
        <f ca="1">IFERROR(__xludf.DUMMYFUNCTION("""COMPUTED_VALUE"""),"Переход на Mobile SMARTS: Магазин 15 с ЕГАИС, БАЗОВЫЙ для «1С: Управление торговлей 11.5», для работы с маркированным товаром: алкоголь ЕГАИС и товары по штрихкодам ")</f>
        <v xml:space="preserve">Переход на Mobile SMARTS: Магазин 15 с ЕГАИС, БАЗОВЫЙ для «1С: Управление торговлей 11.5», для работы с маркированным товаром: алкоголь ЕГАИС и товары по штрихкодам </v>
      </c>
      <c r="F240" s="5">
        <f ca="1">IFERROR(__xludf.DUMMYFUNCTION("""COMPUTED_VALUE"""),5500)</f>
        <v>5500</v>
      </c>
    </row>
    <row r="241" spans="1:6" ht="44.25" customHeight="1" x14ac:dyDescent="0.2">
      <c r="A241" s="4" t="str">
        <f ca="1">IFERROR(__xludf.DUMMYFUNCTION("""COMPUTED_VALUE"""),"«1С: Управление торговлей 11.5»")</f>
        <v>«1С: Управление торговлей 11.5»</v>
      </c>
      <c r="B241" s="4" t="str">
        <f ca="1">IFERROR(__xludf.DUMMYFUNCTION("""COMPUTED_VALUE"""),"с ЕГАИС, РАСШИРЕННЫЙ")</f>
        <v>с ЕГАИС, РАСШИРЕННЫЙ</v>
      </c>
      <c r="C241" s="4" t="str">
        <f ca="1">IFERROR(__xludf.DUMMYFUNCTION("""COMPUTED_VALUE"""),"UP2-RTL15BE-1CUT115")</f>
        <v>UP2-RTL15BE-1CUT115</v>
      </c>
      <c r="D241" s="4" t="str">
        <f ca="1">IFERROR(__xludf.DUMMYFUNCTION("""COMPUTED_VALUE"""),"Переход на Mobile SMARTS: Магазин 15 с ЕГАИС, РАСШИРЕННЫЙ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(один"&amp;") год")</f>
        <v>Переход на Mobile SMARTS: Магазин 15 с ЕГАИС, РАСШИРЕННЫЙ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1" s="4" t="str">
        <f ca="1">IFERROR(__xludf.DUMMYFUNCTION("""COMPUTED_VALUE"""),"Переход на Mobile SMARTS: Магазин 15 с ЕГАИС, РАСШИРЕННЫЙ для «1С: Управление торговлей 11.5», для работы с маркированным товаром: алкоголь ЕГАИС и товары по штрихкодам ")</f>
        <v xml:space="preserve">Переход на Mobile SMARTS: Магазин 15 с ЕГАИС, РАСШИРЕННЫЙ для «1С: Управление торговлей 11.5», для работы с маркированным товаром: алкоголь ЕГАИС и товары по штрихкодам </v>
      </c>
      <c r="F241" s="5">
        <f ca="1">IFERROR(__xludf.DUMMYFUNCTION("""COMPUTED_VALUE"""),8725)</f>
        <v>8725</v>
      </c>
    </row>
    <row r="242" spans="1:6" ht="44.25" customHeight="1" x14ac:dyDescent="0.2">
      <c r="A242" s="4" t="str">
        <f ca="1">IFERROR(__xludf.DUMMYFUNCTION("""COMPUTED_VALUE"""),"«1С: Управление торговлей 11.5»")</f>
        <v>«1С: Управление торговлей 11.5»</v>
      </c>
      <c r="B242" s="4" t="str">
        <f ca="1">IFERROR(__xludf.DUMMYFUNCTION("""COMPUTED_VALUE"""),"с ЕГАИС (без CheckMark2), МЕГАМАРКЕТ")</f>
        <v>с ЕГАИС (без CheckMark2), МЕГАМАРКЕТ</v>
      </c>
      <c r="C242" s="4" t="str">
        <f ca="1">IFERROR(__xludf.DUMMYFUNCTION("""COMPUTED_VALUE"""),"UP2-RTL15CEV-1CUT115")</f>
        <v>UP2-RTL15CEV-1CUT115</v>
      </c>
      <c r="D242" s="4" t="str">
        <f ca="1">IFERROR(__xludf.DUMMYFUNCTION("""COMPUTED_VALUE"""),"Переход на 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ОНЛ"&amp;"АЙН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коллекти"&amp;"вная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Переход на 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2" s="4" t="str">
        <f ca="1">IFERROR(__xludf.DUMMYFUNCTION("""COMPUTED_VALUE"""),"Переход на 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</v>
      </c>
      <c r="F242" s="5">
        <f ca="1">IFERROR(__xludf.DUMMYFUNCTION("""COMPUTED_VALUE"""),11925)</f>
        <v>11925</v>
      </c>
    </row>
    <row r="243" spans="1:6" ht="44.25" customHeight="1" x14ac:dyDescent="0.2">
      <c r="A243" s="4" t="str">
        <f ca="1">IFERROR(__xludf.DUMMYFUNCTION("""COMPUTED_VALUE"""),"«1С: Управление торговлей 11.5»")</f>
        <v>«1С: Управление торговлей 11.5»</v>
      </c>
      <c r="B243" s="4" t="str">
        <f ca="1">IFERROR(__xludf.DUMMYFUNCTION("""COMPUTED_VALUE"""),"с МОТП, БАЗОВЫЙ")</f>
        <v>с МОТП, БАЗОВЫЙ</v>
      </c>
      <c r="C243" s="4" t="str">
        <f ca="1">IFERROR(__xludf.DUMMYFUNCTION("""COMPUTED_VALUE"""),"UP2-RTL15AT-1CUT115")</f>
        <v>UP2-RTL15AT-1CUT115</v>
      </c>
      <c r="D243" s="4" t="str">
        <f ca="1">IFERROR(__xludf.DUMMYFUNCTION("""COMPUTED_VALUE"""),"Переход на Mobile SMARTS: Магазин 15 с МОТП, БАЗОВЫЙ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пост"&amp;"упление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3" s="4" t="str">
        <f ca="1">IFERROR(__xludf.DUMMYFUNCTION("""COMPUTED_VALUE"""),"Переход на Mobile SMARTS: Магазин 15 с МОТП, БАЗОВЫЙ для «1С: Управление торговлей 11.5», для работы с маркированным товаром: ТАБАК и товары по штрихкодам ")</f>
        <v xml:space="preserve">Переход на Mobile SMARTS: Магазин 15 с МОТП, БАЗОВЫЙ для «1С: Управление торговлей 11.5», для работы с маркированным товаром: ТАБАК и товары по штрихкодам </v>
      </c>
      <c r="F243" s="5">
        <f ca="1">IFERROR(__xludf.DUMMYFUNCTION("""COMPUTED_VALUE"""),5575)</f>
        <v>5575</v>
      </c>
    </row>
    <row r="244" spans="1:6" ht="44.25" customHeight="1" x14ac:dyDescent="0.2">
      <c r="A244" s="4" t="str">
        <f ca="1">IFERROR(__xludf.DUMMYFUNCTION("""COMPUTED_VALUE"""),"«1С: Управление торговлей 11.5»")</f>
        <v>«1С: Управление торговлей 11.5»</v>
      </c>
      <c r="B244" s="4" t="str">
        <f ca="1">IFERROR(__xludf.DUMMYFUNCTION("""COMPUTED_VALUE"""),"с МОТП, РАСШИРЕННЫЙ")</f>
        <v>с МОТП, РАСШИРЕННЫЙ</v>
      </c>
      <c r="C244" s="4" t="str">
        <f ca="1">IFERROR(__xludf.DUMMYFUNCTION("""COMPUTED_VALUE"""),"UP2-RTL15BT-1CUT115")</f>
        <v>UP2-RTL15BT-1CUT115</v>
      </c>
      <c r="D244" s="4" t="str">
        <f ca="1">IFERROR(__xludf.DUMMYFUNCTION("""COMPUTED_VALUE"""),"Переход на Mobile SMARTS: Магазин 15 с МОТП, РАСШИРЕННЫЙ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"&amp;"поступление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 с МОТП, РАСШИРЕННЫЙ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4" s="4" t="str">
        <f ca="1">IFERROR(__xludf.DUMMYFUNCTION("""COMPUTED_VALUE"""),"Переход на Mobile SMARTS: Магазин 15 с МОТП, РАСШИРЕННЫЙ для «1С: Управление торговлей 11.5», для работы с маркированным товаром: ТАБАК и товары по штрихкодам ")</f>
        <v xml:space="preserve">Переход на Mobile SMARTS: Магазин 15 с МОТП, РАСШИРЕННЫЙ для «1С: Управление торговлей 11.5», для работы с маркированным товаром: ТАБАК и товары по штрихкодам </v>
      </c>
      <c r="F244" s="5">
        <f ca="1">IFERROR(__xludf.DUMMYFUNCTION("""COMPUTED_VALUE"""),8725)</f>
        <v>8725</v>
      </c>
    </row>
    <row r="245" spans="1:6" ht="44.25" customHeight="1" x14ac:dyDescent="0.2">
      <c r="A245" s="4" t="str">
        <f ca="1">IFERROR(__xludf.DUMMYFUNCTION("""COMPUTED_VALUE"""),"«1С: Управление торговлей 11.5»")</f>
        <v>«1С: Управление торговлей 11.5»</v>
      </c>
      <c r="B245" s="4" t="str">
        <f ca="1">IFERROR(__xludf.DUMMYFUNCTION("""COMPUTED_VALUE"""),"с МОТП, МЕГАМАРКЕТ")</f>
        <v>с МОТП, МЕГАМАРКЕТ</v>
      </c>
      <c r="C245" s="4" t="str">
        <f ca="1">IFERROR(__xludf.DUMMYFUNCTION("""COMPUTED_VALUE"""),"UP2-RTL15CT-1CUT115")</f>
        <v>UP2-RTL15CT-1CUT115</v>
      </c>
      <c r="D245" s="4" t="str">
        <f ca="1">IFERROR(__xludf.DUMMYFUNCTION("""COMPUTED_VALUE"""),"Переход на Mobile SMARTS: Магазин 15 с МОТП, МЕГАМАРКЕТ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п"&amp;"оступление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"&amp;"коллективная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Переход на Mobile SMARTS: Магазин 15 с МОТП, МЕГАМАРКЕТ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5" s="4" t="str">
        <f ca="1">IFERROR(__xludf.DUMMYFUNCTION("""COMPUTED_VALUE"""),"Переход на Mobile SMARTS: Магазин 15 с МОТП, МЕГАМАРКЕТ для «1С: Управление торговлей 11.5», для работы с маркированным товаром: ТАБАК и товары по штрихкодам ")</f>
        <v xml:space="preserve">Переход на Mobile SMARTS: Магазин 15 с МОТП, МЕГАМАРКЕТ для «1С: Управление торговлей 11.5», для работы с маркированным товаром: ТАБАК и товары по штрихкодам </v>
      </c>
      <c r="F245" s="5">
        <f ca="1">IFERROR(__xludf.DUMMYFUNCTION("""COMPUTED_VALUE"""),11925)</f>
        <v>11925</v>
      </c>
    </row>
    <row r="246" spans="1:6" ht="44.25" customHeight="1" x14ac:dyDescent="0.2">
      <c r="A246" s="4" t="str">
        <f ca="1">IFERROR(__xludf.DUMMYFUNCTION("""COMPUTED_VALUE"""),"«1С: Управление торговлей 11.5»")</f>
        <v>«1С: Управление торговлей 11.5»</v>
      </c>
      <c r="B246" s="4" t="str">
        <f ca="1">IFERROR(__xludf.DUMMYFUNCTION("""COMPUTED_VALUE"""),"с ЕГАИС и МОТП, БАЗОВЫЙ")</f>
        <v>с ЕГАИС и МОТП, БАЗОВЫЙ</v>
      </c>
      <c r="C246" s="4" t="str">
        <f ca="1">IFERROR(__xludf.DUMMYFUNCTION("""COMPUTED_VALUE"""),"UP2-RTL15AET-1CUT115")</f>
        <v>UP2-RTL15AET-1CUT115</v>
      </c>
      <c r="D246" s="4" t="str">
        <f ca="1">IFERROR(__xludf.DUMMYFUNCTION("""COMPUTED_VALUE"""),"Переход на Mobile SMARTS: Магазин 15 с ЕГАИС и МОТП, БАЗОВЫЙ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доступ"&amp;"ные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перемещение,"&amp;"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опе"&amp;"раций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6" s="4" t="str">
        <f ca="1">IFERROR(__xludf.DUMMYFUNCTION("""COMPUTED_VALUE"""),"Переход на Mobile SMARTS: Магазин 15 с ЕГАИС и МОТП, БАЗОВЫЙ для «1С: Управление торговлей 11.5»,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«1С: Управление торговлей 11.5», для работы с маркированным товаром: АЛКОГОЛЬ, ТАБАК и товары по штрихкодам </v>
      </c>
      <c r="F246" s="5">
        <f ca="1">IFERROR(__xludf.DUMMYFUNCTION("""COMPUTED_VALUE"""),6075)</f>
        <v>6075</v>
      </c>
    </row>
    <row r="247" spans="1:6" ht="44.25" customHeight="1" x14ac:dyDescent="0.2">
      <c r="A247" s="4" t="str">
        <f ca="1">IFERROR(__xludf.DUMMYFUNCTION("""COMPUTED_VALUE"""),"«1С: Управление торговлей 11.5»")</f>
        <v>«1С: Управление торговлей 11.5»</v>
      </c>
      <c r="B247" s="4" t="str">
        <f ca="1">IFERROR(__xludf.DUMMYFUNCTION("""COMPUTED_VALUE"""),"с ЕГАИС и МОТП, РАСШИРЕННЫЙ")</f>
        <v>с ЕГАИС и МОТП, РАСШИРЕННЫЙ</v>
      </c>
      <c r="C247" s="4" t="str">
        <f ca="1">IFERROR(__xludf.DUMMYFUNCTION("""COMPUTED_VALUE"""),"UP2-RTL15BET-1CUT115")</f>
        <v>UP2-RTL15BET-1CUT115</v>
      </c>
      <c r="D247" s="4" t="str">
        <f ca="1">IFERROR(__xludf.DUMMYFUNCTION("""COMPUTED_VALUE"""),"Переход на 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до"&amp;"ступные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7" s="4" t="str">
        <f ca="1">IFERROR(__xludf.DUMMYFUNCTION("""COMPUTED_VALUE"""),"Переход на 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</v>
      </c>
      <c r="F247" s="5">
        <f ca="1">IFERROR(__xludf.DUMMYFUNCTION("""COMPUTED_VALUE"""),9275)</f>
        <v>9275</v>
      </c>
    </row>
    <row r="248" spans="1:6" ht="44.25" customHeight="1" x14ac:dyDescent="0.2">
      <c r="A248" s="4" t="str">
        <f ca="1">IFERROR(__xludf.DUMMYFUNCTION("""COMPUTED_VALUE"""),"«1С: Управление торговлей 11.5»")</f>
        <v>«1С: Управление торговлей 11.5»</v>
      </c>
      <c r="B248" s="4" t="str">
        <f ca="1">IFERROR(__xludf.DUMMYFUNCTION("""COMPUTED_VALUE"""),"с ЕГАИС и МОТП, МЕГАМАРКЕТ")</f>
        <v>с ЕГАИС и МОТП, МЕГАМАРКЕТ</v>
      </c>
      <c r="C248" s="4" t="str">
        <f ca="1">IFERROR(__xludf.DUMMYFUNCTION("""COMPUTED_VALUE"""),"UP2-RTL15CET-1CUT115")</f>
        <v>UP2-RTL15CET-1CUT115</v>
      </c>
      <c r="D248" s="4" t="str">
        <f ca="1">IFERROR(__xludf.DUMMYFUNCTION("""COMPUTED_VALUE"""),"Переход на 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дос"&amp;"тупные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перемещен"&amp;"ие,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из"&amp;"менение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8" s="4" t="str">
        <f ca="1">IFERROR(__xludf.DUMMYFUNCTION("""COMPUTED_VALUE"""),"Переход на 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</v>
      </c>
      <c r="F248" s="5">
        <f ca="1">IFERROR(__xludf.DUMMYFUNCTION("""COMPUTED_VALUE"""),13175)</f>
        <v>13175</v>
      </c>
    </row>
    <row r="249" spans="1:6" ht="44.25" customHeight="1" x14ac:dyDescent="0.2">
      <c r="A249" s="4" t="str">
        <f ca="1">IFERROR(__xludf.DUMMYFUNCTION("""COMPUTED_VALUE"""),"«1С: Управление торговлей 11.5»")</f>
        <v>«1С: Управление торговлей 11.5»</v>
      </c>
      <c r="B249" s="4" t="str">
        <f ca="1">IFERROR(__xludf.DUMMYFUNCTION("""COMPUTED_VALUE"""),"ШМОТКИ, БАЗОВЫЙ")</f>
        <v>ШМОТКИ, БАЗОВЫЙ</v>
      </c>
      <c r="C249" s="4" t="str">
        <f ca="1">IFERROR(__xludf.DUMMYFUNCTION("""COMPUTED_VALUE"""),"UP2-RTL15AK-1CUT115")</f>
        <v>UP2-RTL15AK-1CUT115</v>
      </c>
      <c r="D249" s="4" t="str">
        <f ca="1">IFERROR(__xludf.DUMMYFUNCTION("""COMPUTED_VALUE"""),"Переход на 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до"&amp;"ступные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QR-ко"&amp;"дов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Переход на 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9" s="4" t="str">
        <f ca="1">IFERROR(__xludf.DUMMYFUNCTION("""COMPUTED_VALUE"""),"Переход на 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</v>
      </c>
      <c r="F249" s="5">
        <f ca="1">IFERROR(__xludf.DUMMYFUNCTION("""COMPUTED_VALUE"""),6075)</f>
        <v>6075</v>
      </c>
    </row>
    <row r="250" spans="1:6" ht="44.25" customHeight="1" x14ac:dyDescent="0.2">
      <c r="A250" s="4" t="str">
        <f ca="1">IFERROR(__xludf.DUMMYFUNCTION("""COMPUTED_VALUE"""),"«1С: Управление торговлей 11.5»")</f>
        <v>«1С: Управление торговлей 11.5»</v>
      </c>
      <c r="B250" s="4" t="str">
        <f ca="1">IFERROR(__xludf.DUMMYFUNCTION("""COMPUTED_VALUE"""),"ШМОТКИ, РАСШИРЕННЫЙ")</f>
        <v>ШМОТКИ, РАСШИРЕННЫЙ</v>
      </c>
      <c r="C250" s="4" t="str">
        <f ca="1">IFERROR(__xludf.DUMMYFUNCTION("""COMPUTED_VALUE"""),"UP2-RTL15BK-1CUT115")</f>
        <v>UP2-RTL15BK-1CUT115</v>
      </c>
      <c r="D250" s="4" t="str">
        <f ca="1">IFERROR(__xludf.DUMMYFUNCTION("""COMPUTED_VALUE"""),"Переход на 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"&amp;"/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Переход на 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0" s="4" t="str">
        <f ca="1">IFERROR(__xludf.DUMMYFUNCTION("""COMPUTED_VALUE"""),"Переход на 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</v>
      </c>
      <c r="F250" s="5">
        <f ca="1">IFERROR(__xludf.DUMMYFUNCTION("""COMPUTED_VALUE"""),9275)</f>
        <v>9275</v>
      </c>
    </row>
    <row r="251" spans="1:6" ht="44.25" customHeight="1" x14ac:dyDescent="0.2">
      <c r="A251" s="4" t="str">
        <f ca="1">IFERROR(__xludf.DUMMYFUNCTION("""COMPUTED_VALUE"""),"«1С: Управление торговлей 11.5»")</f>
        <v>«1С: Управление торговлей 11.5»</v>
      </c>
      <c r="B251" s="4" t="str">
        <f ca="1">IFERROR(__xludf.DUMMYFUNCTION("""COMPUTED_VALUE"""),"ШМОТКИ, МЕГАМАРКЕТ")</f>
        <v>ШМОТКИ, МЕГАМАРКЕТ</v>
      </c>
      <c r="C251" s="4" t="str">
        <f ca="1">IFERROR(__xludf.DUMMYFUNCTION("""COMPUTED_VALUE"""),"UP2-RTL15CK-1CUT115")</f>
        <v>UP2-RTL15CK-1CUT115</v>
      </c>
      <c r="D251" s="4" t="str">
        <f ca="1">IFERROR(__xludf.DUMMYFUNCTION("""COMPUTED_VALUE"""),"Переход на 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Переход на 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1" s="4" t="str">
        <f ca="1">IFERROR(__xludf.DUMMYFUNCTION("""COMPUTED_VALUE"""),"Переход на 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</v>
      </c>
      <c r="F251" s="5">
        <f ca="1">IFERROR(__xludf.DUMMYFUNCTION("""COMPUTED_VALUE"""),13175)</f>
        <v>13175</v>
      </c>
    </row>
    <row r="252" spans="1:6" ht="44.25" customHeight="1" x14ac:dyDescent="0.2">
      <c r="A252" s="4" t="str">
        <f ca="1">IFERROR(__xludf.DUMMYFUNCTION("""COMPUTED_VALUE"""),"«1С: Управление торговлей 11.5»")</f>
        <v>«1С: Управление торговлей 11.5»</v>
      </c>
      <c r="B252" s="4" t="str">
        <f ca="1">IFERROR(__xludf.DUMMYFUNCTION("""COMPUTED_VALUE"""),"ПРОДУКТОВЫЙ, БАЗОВЫЙ")</f>
        <v>ПРОДУКТОВЫЙ, БАЗОВЫЙ</v>
      </c>
      <c r="C252" s="4" t="str">
        <f ca="1">IFERROR(__xludf.DUMMYFUNCTION("""COMPUTED_VALUE"""),"UP2-RTL15AG-1CUT115")</f>
        <v>UP2-RTL15AG-1CUT115</v>
      </c>
      <c r="D252" s="4" t="str">
        <f ca="1">IFERROR(__xludf.DUMMYFUNCTION("""COMPUTED_VALUE"""),"Переход на 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ил"&amp;"и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подбор"&amp;"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2" s="4" t="str">
        <f ca="1">IFERROR(__xludf.DUMMYFUNCTION("""COMPUTED_VALUE"""),"Переход на 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</v>
      </c>
      <c r="F252" s="5">
        <f ca="1">IFERROR(__xludf.DUMMYFUNCTION("""COMPUTED_VALUE"""),7275)</f>
        <v>7275</v>
      </c>
    </row>
    <row r="253" spans="1:6" ht="44.25" customHeight="1" x14ac:dyDescent="0.2">
      <c r="A253" s="4" t="str">
        <f ca="1">IFERROR(__xludf.DUMMYFUNCTION("""COMPUTED_VALUE"""),"«1С: Управление торговлей 11.5»")</f>
        <v>«1С: Управление торговлей 11.5»</v>
      </c>
      <c r="B253" s="4" t="str">
        <f ca="1">IFERROR(__xludf.DUMMYFUNCTION("""COMPUTED_VALUE"""),"ПРОДУКТОВЫЙ, РАСШИРЕННЫЙ")</f>
        <v>ПРОДУКТОВЫЙ, РАСШИРЕННЫЙ</v>
      </c>
      <c r="C253" s="4" t="str">
        <f ca="1">IFERROR(__xludf.DUMMYFUNCTION("""COMPUTED_VALUE"""),"UP2-RTL15BG-1CUT115")</f>
        <v>UP2-RTL15BG-1CUT115</v>
      </c>
      <c r="D253" s="4" t="str">
        <f ca="1">IFERROR(__xludf.DUMMYFUNCTION("""COMPUTED_VALUE"""),"Переход на 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беспроводно"&amp;"й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по"&amp;"дбор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3" s="4" t="str">
        <f ca="1">IFERROR(__xludf.DUMMYFUNCTION("""COMPUTED_VALUE"""),"Переход на 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</v>
      </c>
      <c r="F253" s="5">
        <f ca="1">IFERROR(__xludf.DUMMYFUNCTION("""COMPUTED_VALUE"""),10475)</f>
        <v>10475</v>
      </c>
    </row>
    <row r="254" spans="1:6" ht="44.25" customHeight="1" x14ac:dyDescent="0.2">
      <c r="A254" s="4" t="str">
        <f ca="1">IFERROR(__xludf.DUMMYFUNCTION("""COMPUTED_VALUE"""),"«1С: Управление торговлей 11.5»")</f>
        <v>«1С: Управление торговлей 11.5»</v>
      </c>
      <c r="B254" s="4" t="str">
        <f ca="1">IFERROR(__xludf.DUMMYFUNCTION("""COMPUTED_VALUE"""),"ПРОДУКТОВЫЙ, МЕГАМАРКЕТ")</f>
        <v>ПРОДУКТОВЫЙ, МЕГАМАРКЕТ</v>
      </c>
      <c r="C254" s="4" t="str">
        <f ca="1">IFERROR(__xludf.DUMMYFUNCTION("""COMPUTED_VALUE"""),"UP2-RTL15CG-1CUT115")</f>
        <v>UP2-RTL15CG-1CUT115</v>
      </c>
      <c r="D254" s="4" t="str">
        <f ca="1">IFERROR(__xludf.DUMMYFUNCTION("""COMPUTED_VALUE"""),"Переход на 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беспроводной"&amp;"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под"&amp;"бор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"&amp;"контрагентах,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4" s="4" t="str">
        <f ca="1">IFERROR(__xludf.DUMMYFUNCTION("""COMPUTED_VALUE"""),"Переход на 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</v>
      </c>
      <c r="F254" s="5">
        <f ca="1">IFERROR(__xludf.DUMMYFUNCTION("""COMPUTED_VALUE"""),14125)</f>
        <v>14125</v>
      </c>
    </row>
    <row r="255" spans="1:6" ht="44.25" customHeight="1" x14ac:dyDescent="0.2">
      <c r="A255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5" s="4" t="str">
        <f ca="1">IFERROR(__xludf.DUMMYFUNCTION("""COMPUTED_VALUE"""),"МИНИМУМ")</f>
        <v>МИНИМУМ</v>
      </c>
      <c r="C255" s="4" t="str">
        <f ca="1">IFERROR(__xludf.DUMMYFUNCTION("""COMPUTED_VALUE"""),"UP2-RTL15M-1CUTKZ22")</f>
        <v>UP2-RTL15M-1CUTKZ22</v>
      </c>
      <c r="D255" s="4" t="str">
        <f ca="1">IFERROR(__xludf.DUMMYFUNCTION("""COMPUTED_VALUE"""),"Переход на Mobile SMARTS: Магазин 15, МИНИМУМ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инвентариз"&amp;"ация,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че"&amp;"рез Интернет на 1 (один) год")</f>
        <v>Переход на Mobile SMARTS: Магазин 15, МИНИМУМ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55" s="4" t="str">
        <f ca="1">IFERROR(__xludf.DUMMYFUNCTION("""COMPUTED_VALUE"""),"Переход на Mobile SMARTS: Магазин 15, МИНИМУМ для «1С: Управление торговлей для Казахстана 2.2», для работы с товаром по штрихкодам ")</f>
        <v xml:space="preserve">Переход на Mobile SMARTS: Магазин 15, МИНИМУМ для «1С: Управление торговлей для Казахстана 2.2», для работы с товаром по штрихкодам </v>
      </c>
      <c r="F255" s="5">
        <f ca="1">IFERROR(__xludf.DUMMYFUNCTION("""COMPUTED_VALUE"""),1725)</f>
        <v>1725</v>
      </c>
    </row>
    <row r="256" spans="1:6" ht="44.25" customHeight="1" x14ac:dyDescent="0.2">
      <c r="A256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6" s="4" t="str">
        <f ca="1">IFERROR(__xludf.DUMMYFUNCTION("""COMPUTED_VALUE"""),"БАЗОВЫЙ")</f>
        <v>БАЗОВЫЙ</v>
      </c>
      <c r="C256" s="4" t="str">
        <f ca="1">IFERROR(__xludf.DUMMYFUNCTION("""COMPUTED_VALUE"""),"UP2-RTL15A-1CUTKZ22")</f>
        <v>UP2-RTL15A-1CUTKZ22</v>
      </c>
      <c r="D256" s="4" t="str">
        <f ca="1">IFERROR(__xludf.DUMMYFUNCTION("""COMPUTED_VALUE"""),"Переход на Mobile SMARTS: Магазин 15, БАЗОВЫЙ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инвентаризация"&amp;",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6" s="4" t="str">
        <f ca="1">IFERROR(__xludf.DUMMYFUNCTION("""COMPUTED_VALUE"""),"Переход на Mobile SMARTS: Магазин 15, БАЗОВЫЙ для «1С: Управление торговлей для Казахстана 2.2», для работы с товаром по штрихкодам ")</f>
        <v xml:space="preserve">Переход на Mobile SMARTS: Магазин 15, БАЗОВЫЙ для «1С: Управление торговлей для Казахстана 2.2», для работы с товаром по штрихкодам </v>
      </c>
      <c r="F256" s="5">
        <f ca="1">IFERROR(__xludf.DUMMYFUNCTION("""COMPUTED_VALUE"""),4325)</f>
        <v>4325</v>
      </c>
    </row>
    <row r="257" spans="1:6" ht="44.25" customHeight="1" x14ac:dyDescent="0.2">
      <c r="A257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7" s="4" t="str">
        <f ca="1">IFERROR(__xludf.DUMMYFUNCTION("""COMPUTED_VALUE"""),"РАСШИРЕННЫЙ")</f>
        <v>РАСШИРЕННЫЙ</v>
      </c>
      <c r="C257" s="4" t="str">
        <f ca="1">IFERROR(__xludf.DUMMYFUNCTION("""COMPUTED_VALUE"""),"UP2-RTL15B-1CUTKZ22")</f>
        <v>UP2-RTL15B-1CUTKZ22</v>
      </c>
      <c r="D257" s="4" t="str">
        <f ca="1">IFERROR(__xludf.DUMMYFUNCTION("""COMPUTED_VALUE"""),"Переход на Mobile SMARTS: Магазин 15, РАСШИРЕННЫЙ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инвентариз"&amp;"ация,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7" s="4" t="str">
        <f ca="1">IFERROR(__xludf.DUMMYFUNCTION("""COMPUTED_VALUE"""),"Переход на Mobile SMARTS: Магазин 15, РАСШИРЕННЫЙ для «1С: Управление торговлей для Казахстана 2.2», для работы с товаром по штрихкодам ")</f>
        <v xml:space="preserve">Переход на Mobile SMARTS: Магазин 15, РАСШИРЕННЫЙ для «1С: Управление торговлей для Казахстана 2.2», для работы с товаром по штрихкодам </v>
      </c>
      <c r="F257" s="5">
        <f ca="1">IFERROR(__xludf.DUMMYFUNCTION("""COMPUTED_VALUE"""),7525)</f>
        <v>7525</v>
      </c>
    </row>
    <row r="258" spans="1:6" ht="44.25" customHeight="1" x14ac:dyDescent="0.2">
      <c r="A258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8" s="4" t="str">
        <f ca="1">IFERROR(__xludf.DUMMYFUNCTION("""COMPUTED_VALUE"""),"МЕГАМАРКЕТ")</f>
        <v>МЕГАМАРКЕТ</v>
      </c>
      <c r="C258" s="4" t="str">
        <f ca="1">IFERROR(__xludf.DUMMYFUNCTION("""COMPUTED_VALUE"""),"UP2-RTL15C-1CUTKZ22")</f>
        <v>UP2-RTL15C-1CUTKZ22</v>
      </c>
      <c r="D258" s="4" t="str">
        <f ca="1">IFERROR(__xludf.DUMMYFUNCTION("""COMPUTED_VALUE"""),"Переход на Mobile SMARTS: Магазин 15, МЕГАМАРКЕТ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инвентариза"&amp;"ция,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8" s="4" t="str">
        <f ca="1">IFERROR(__xludf.DUMMYFUNCTION("""COMPUTED_VALUE"""),"Переход на Mobile SMARTS: Магазин 15, МЕГАМАРКЕТ для «1С: Управление торговлей для Казахстана 2.2», для работы с товаром по штрихкодам ")</f>
        <v xml:space="preserve">Переход на Mobile SMARTS: Магазин 15, МЕГАМАРКЕТ для «1С: Управление торговлей для Казахстана 2.2», для работы с товаром по штрихкодам </v>
      </c>
      <c r="F258" s="5">
        <f ca="1">IFERROR(__xludf.DUMMYFUNCTION("""COMPUTED_VALUE"""),10775)</f>
        <v>10775</v>
      </c>
    </row>
    <row r="259" spans="1:6" ht="44.25" customHeight="1" x14ac:dyDescent="0.2">
      <c r="A259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59" s="4" t="str">
        <f ca="1">IFERROR(__xludf.DUMMYFUNCTION("""COMPUTED_VALUE"""),"МИНИМУМ")</f>
        <v>МИНИМУМ</v>
      </c>
      <c r="C259" s="4" t="str">
        <f ca="1">IFERROR(__xludf.DUMMYFUNCTION("""COMPUTED_VALUE"""),"UP2-RTL15M-1CUTKZ32")</f>
        <v>UP2-RTL15M-1CUTKZ32</v>
      </c>
      <c r="D259" s="4" t="str">
        <f ca="1">IFERROR(__xludf.DUMMYFUNCTION("""COMPUTED_VALUE"""),"Переход на Mobile SMARTS: Магазин 15, МИНИМУМ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инвентариз"&amp;"ация,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че"&amp;"рез Интернет на 1 (один) год")</f>
        <v>Переход на Mobile SMARTS: Магазин 15, МИНИМУМ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59" s="4" t="str">
        <f ca="1">IFERROR(__xludf.DUMMYFUNCTION("""COMPUTED_VALUE"""),"Переход на Mobile SMARTS: Магазин 15, МИНИМУМ для «1С: Управление торговлей для Казахстана 3.2», для работы с товаром по штрихкодам ")</f>
        <v xml:space="preserve">Переход на Mobile SMARTS: Магазин 15, МИНИМУМ для «1С: Управление торговлей для Казахстана 3.2», для работы с товаром по штрихкодам </v>
      </c>
      <c r="F259" s="5">
        <f ca="1">IFERROR(__xludf.DUMMYFUNCTION("""COMPUTED_VALUE"""),1725)</f>
        <v>1725</v>
      </c>
    </row>
    <row r="260" spans="1:6" ht="44.25" customHeight="1" x14ac:dyDescent="0.2">
      <c r="A260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60" s="4" t="str">
        <f ca="1">IFERROR(__xludf.DUMMYFUNCTION("""COMPUTED_VALUE"""),"БАЗОВЫЙ")</f>
        <v>БАЗОВЫЙ</v>
      </c>
      <c r="C260" s="4" t="str">
        <f ca="1">IFERROR(__xludf.DUMMYFUNCTION("""COMPUTED_VALUE"""),"UP2-RTL15A-1CUTKZ32")</f>
        <v>UP2-RTL15A-1CUTKZ32</v>
      </c>
      <c r="D260" s="4" t="str">
        <f ca="1">IFERROR(__xludf.DUMMYFUNCTION("""COMPUTED_VALUE"""),"Переход на Mobile SMARTS: Магазин 15, БАЗОВЫЙ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инвентаризация"&amp;",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0" s="4" t="str">
        <f ca="1">IFERROR(__xludf.DUMMYFUNCTION("""COMPUTED_VALUE"""),"Переход на Mobile SMARTS: Магазин 15, БАЗОВЫЙ для «1С: Управление торговлей для Казахстана 3.2», для работы с товаром по штрихкодам ")</f>
        <v xml:space="preserve">Переход на Mobile SMARTS: Магазин 15, БАЗОВЫЙ для «1С: Управление торговлей для Казахстана 3.2», для работы с товаром по штрихкодам </v>
      </c>
      <c r="F260" s="5">
        <f ca="1">IFERROR(__xludf.DUMMYFUNCTION("""COMPUTED_VALUE"""),4325)</f>
        <v>4325</v>
      </c>
    </row>
    <row r="261" spans="1:6" ht="44.25" customHeight="1" x14ac:dyDescent="0.2">
      <c r="A261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61" s="4" t="str">
        <f ca="1">IFERROR(__xludf.DUMMYFUNCTION("""COMPUTED_VALUE"""),"РАСШИРЕННЫЙ")</f>
        <v>РАСШИРЕННЫЙ</v>
      </c>
      <c r="C261" s="4" t="str">
        <f ca="1">IFERROR(__xludf.DUMMYFUNCTION("""COMPUTED_VALUE"""),"UP2-RTL15B-1CUTKZ32")</f>
        <v>UP2-RTL15B-1CUTKZ32</v>
      </c>
      <c r="D261" s="4" t="str">
        <f ca="1">IFERROR(__xludf.DUMMYFUNCTION("""COMPUTED_VALUE"""),"Переход на Mobile SMARTS: Магазин 15, РАСШИРЕННЫЙ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инвентариз"&amp;"ация,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1" s="4" t="str">
        <f ca="1">IFERROR(__xludf.DUMMYFUNCTION("""COMPUTED_VALUE"""),"Переход на Mobile SMARTS: Магазин 15, РАСШИРЕННЫЙ для «1С: Управление торговлей для Казахстана 3.2», для работы с товаром по штрихкодам ")</f>
        <v xml:space="preserve">Переход на Mobile SMARTS: Магазин 15, РАСШИРЕННЫЙ для «1С: Управление торговлей для Казахстана 3.2», для работы с товаром по штрихкодам </v>
      </c>
      <c r="F261" s="5">
        <f ca="1">IFERROR(__xludf.DUMMYFUNCTION("""COMPUTED_VALUE"""),7525)</f>
        <v>7525</v>
      </c>
    </row>
    <row r="262" spans="1:6" ht="44.25" customHeight="1" x14ac:dyDescent="0.2">
      <c r="A262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62" s="4" t="str">
        <f ca="1">IFERROR(__xludf.DUMMYFUNCTION("""COMPUTED_VALUE"""),"МЕГАМАРКЕТ")</f>
        <v>МЕГАМАРКЕТ</v>
      </c>
      <c r="C262" s="4" t="str">
        <f ca="1">IFERROR(__xludf.DUMMYFUNCTION("""COMPUTED_VALUE"""),"UP2-RTL15C-1CUTKZ32")</f>
        <v>UP2-RTL15C-1CUTKZ32</v>
      </c>
      <c r="D262" s="4" t="str">
        <f ca="1">IFERROR(__xludf.DUMMYFUNCTION("""COMPUTED_VALUE"""),"Переход на Mobile SMARTS: Магазин 15, МЕГАМАРКЕТ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инвентариза"&amp;"ция,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2" s="4" t="str">
        <f ca="1">IFERROR(__xludf.DUMMYFUNCTION("""COMPUTED_VALUE"""),"Переход на Mobile SMARTS: Магазин 15, МЕГАМАРКЕТ для «1С: Управление торговлей для Казахстана 3.2», для работы с товаром по штрихкодам ")</f>
        <v xml:space="preserve">Переход на Mobile SMARTS: Магазин 15, МЕГАМАРКЕТ для «1С: Управление торговлей для Казахстана 3.2», для работы с товаром по штрихкодам </v>
      </c>
      <c r="F262" s="5">
        <f ca="1">IFERROR(__xludf.DUMMYFUNCTION("""COMPUTED_VALUE"""),10775)</f>
        <v>10775</v>
      </c>
    </row>
    <row r="263" spans="1:6" ht="44.25" customHeight="1" x14ac:dyDescent="0.2">
      <c r="A263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3" s="4" t="str">
        <f ca="1">IFERROR(__xludf.DUMMYFUNCTION("""COMPUTED_VALUE"""),"МИНИМУМ")</f>
        <v>МИНИМУМ</v>
      </c>
      <c r="C263" s="4" t="str">
        <f ca="1">IFERROR(__xludf.DUMMYFUNCTION("""COMPUTED_VALUE"""),"UP2-RTL15M-1CUTKZ34")</f>
        <v>UP2-RTL15M-1CUTKZ34</v>
      </c>
      <c r="D263" s="4" t="str">
        <f ca="1">IFERROR(__xludf.DUMMYFUNCTION("""COMPUTED_VALUE"""),"Переход на Mobile SMARTS: Магазин 15, МИНИМУМ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инвентариз"&amp;"ация,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че"&amp;"рез Интернет на 1 (один) год")</f>
        <v>Переход на Mobile SMARTS: Магазин 15, МИНИМУМ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63" s="4" t="str">
        <f ca="1">IFERROR(__xludf.DUMMYFUNCTION("""COMPUTED_VALUE"""),"Переход на Mobile SMARTS: Магазин 15, МИНИМУМ для «1С: Управление торговлей для Казахстана 3.4», для работы с товаром по штрихкодам ")</f>
        <v xml:space="preserve">Переход на Mobile SMARTS: Магазин 15, МИНИМУМ для «1С: Управление торговлей для Казахстана 3.4», для работы с товаром по штрихкодам </v>
      </c>
      <c r="F263" s="5">
        <f ca="1">IFERROR(__xludf.DUMMYFUNCTION("""COMPUTED_VALUE"""),1725)</f>
        <v>1725</v>
      </c>
    </row>
    <row r="264" spans="1:6" ht="44.25" customHeight="1" x14ac:dyDescent="0.2">
      <c r="A264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4" s="4" t="str">
        <f ca="1">IFERROR(__xludf.DUMMYFUNCTION("""COMPUTED_VALUE"""),"БАЗОВЫЙ")</f>
        <v>БАЗОВЫЙ</v>
      </c>
      <c r="C264" s="4" t="str">
        <f ca="1">IFERROR(__xludf.DUMMYFUNCTION("""COMPUTED_VALUE"""),"UP2-RTL15A-1CUTKZ34")</f>
        <v>UP2-RTL15A-1CUTKZ34</v>
      </c>
      <c r="D264" s="4" t="str">
        <f ca="1">IFERROR(__xludf.DUMMYFUNCTION("""COMPUTED_VALUE"""),"Переход на Mobile SMARTS: Магазин 15, БАЗОВЫЙ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инвентаризация"&amp;",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4" s="4" t="str">
        <f ca="1">IFERROR(__xludf.DUMMYFUNCTION("""COMPUTED_VALUE"""),"Переход на Mobile SMARTS: Магазин 15, БАЗОВЫЙ для «1С: Управление торговлей для Казахстана 3.4», для работы с товаром по штрихкодам ")</f>
        <v xml:space="preserve">Переход на Mobile SMARTS: Магазин 15, БАЗОВЫЙ для «1С: Управление торговлей для Казахстана 3.4», для работы с товаром по штрихкодам </v>
      </c>
      <c r="F264" s="5">
        <f ca="1">IFERROR(__xludf.DUMMYFUNCTION("""COMPUTED_VALUE"""),4325)</f>
        <v>4325</v>
      </c>
    </row>
    <row r="265" spans="1:6" ht="44.25" customHeight="1" x14ac:dyDescent="0.2">
      <c r="A265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5" s="4" t="str">
        <f ca="1">IFERROR(__xludf.DUMMYFUNCTION("""COMPUTED_VALUE"""),"РАСШИРЕННЫЙ")</f>
        <v>РАСШИРЕННЫЙ</v>
      </c>
      <c r="C265" s="4" t="str">
        <f ca="1">IFERROR(__xludf.DUMMYFUNCTION("""COMPUTED_VALUE"""),"UP2-RTL15B-1CUTKZ34")</f>
        <v>UP2-RTL15B-1CUTKZ34</v>
      </c>
      <c r="D265" s="4" t="str">
        <f ca="1">IFERROR(__xludf.DUMMYFUNCTION("""COMPUTED_VALUE"""),"Переход на Mobile SMARTS: Магазин 15, РАСШИРЕННЫЙ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инвентариз"&amp;"ация,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5" s="4" t="str">
        <f ca="1">IFERROR(__xludf.DUMMYFUNCTION("""COMPUTED_VALUE"""),"Переход на Mobile SMARTS: Магазин 15, РАСШИРЕННЫЙ для «1С: Управление торговлей для Казахстана 3.4», для работы с товаром по штрихкодам ")</f>
        <v xml:space="preserve">Переход на Mobile SMARTS: Магазин 15, РАСШИРЕННЫЙ для «1С: Управление торговлей для Казахстана 3.4», для работы с товаром по штрихкодам </v>
      </c>
      <c r="F265" s="5">
        <f ca="1">IFERROR(__xludf.DUMMYFUNCTION("""COMPUTED_VALUE"""),7525)</f>
        <v>7525</v>
      </c>
    </row>
    <row r="266" spans="1:6" ht="44.25" customHeight="1" x14ac:dyDescent="0.2">
      <c r="A266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6" s="4" t="str">
        <f ca="1">IFERROR(__xludf.DUMMYFUNCTION("""COMPUTED_VALUE"""),"МЕГАМАРКЕТ")</f>
        <v>МЕГАМАРКЕТ</v>
      </c>
      <c r="C266" s="4" t="str">
        <f ca="1">IFERROR(__xludf.DUMMYFUNCTION("""COMPUTED_VALUE"""),"UP2-RTL15C-1CUTKZ34")</f>
        <v>UP2-RTL15C-1CUTKZ34</v>
      </c>
      <c r="D266" s="4" t="str">
        <f ca="1">IFERROR(__xludf.DUMMYFUNCTION("""COMPUTED_VALUE"""),"Переход на Mobile SMARTS: Магазин 15, МЕГАМАРКЕТ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инвентариза"&amp;"ция,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6" s="4" t="str">
        <f ca="1">IFERROR(__xludf.DUMMYFUNCTION("""COMPUTED_VALUE"""),"Переход на Mobile SMARTS: Магазин 15, МЕГАМАРКЕТ для «1С: Управление торговлей для Казахстана 3.4», для работы с товаром по штрихкодам ")</f>
        <v xml:space="preserve">Переход на Mobile SMARTS: Магазин 15, МЕГАМАРКЕТ для «1С: Управление торговлей для Казахстана 3.4», для работы с товаром по штрихкодам </v>
      </c>
      <c r="F266" s="5">
        <f ca="1">IFERROR(__xludf.DUMMYFUNCTION("""COMPUTED_VALUE"""),10775)</f>
        <v>10775</v>
      </c>
    </row>
    <row r="267" spans="1:6" ht="44.25" customHeight="1" x14ac:dyDescent="0.2">
      <c r="A267" s="4" t="str">
        <f ca="1">IFERROR(__xludf.DUMMYFUNCTION("""COMPUTED_VALUE"""),"«1С: Розница для Казахстана 2.0»")</f>
        <v>«1С: Розница для Казахстана 2.0»</v>
      </c>
      <c r="B267" s="4" t="str">
        <f ca="1">IFERROR(__xludf.DUMMYFUNCTION("""COMPUTED_VALUE"""),"МИНИМУМ")</f>
        <v>МИНИМУМ</v>
      </c>
      <c r="C267" s="4" t="str">
        <f ca="1">IFERROR(__xludf.DUMMYFUNCTION("""COMPUTED_VALUE"""),"UP2-RTL15M-1CRZKZ20")</f>
        <v>UP2-RTL15M-1CRZKZ20</v>
      </c>
      <c r="D267" s="4" t="str">
        <f ca="1">IFERROR(__xludf.DUMMYFUNCTION("""COMPUTED_VALUE"""),"Переход на Mobile SMARTS: Магазин 15, МИНИМУМ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просмот"&amp;"р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"&amp;"на 1 (один) год")</f>
        <v>Переход на Mobile SMARTS: Магазин 15, МИНИМУМ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67" s="4" t="str">
        <f ca="1">IFERROR(__xludf.DUMMYFUNCTION("""COMPUTED_VALUE"""),"Переход на Mobile SMARTS: Магазин 15, МИНИМУМ для «1С: Розница для Казахстана 2.0», для работы с товаром по штрихкодам ")</f>
        <v xml:space="preserve">Переход на Mobile SMARTS: Магазин 15, МИНИМУМ для «1С: Розница для Казахстана 2.0», для работы с товаром по штрихкодам </v>
      </c>
      <c r="F267" s="5">
        <f ca="1">IFERROR(__xludf.DUMMYFUNCTION("""COMPUTED_VALUE"""),1725)</f>
        <v>1725</v>
      </c>
    </row>
    <row r="268" spans="1:6" ht="44.25" customHeight="1" x14ac:dyDescent="0.2">
      <c r="A268" s="4" t="str">
        <f ca="1">IFERROR(__xludf.DUMMYFUNCTION("""COMPUTED_VALUE"""),"«1С: Розница для Казахстана 2.0»")</f>
        <v>«1С: Розница для Казахстана 2.0»</v>
      </c>
      <c r="B268" s="4" t="str">
        <f ca="1">IFERROR(__xludf.DUMMYFUNCTION("""COMPUTED_VALUE"""),"БАЗОВЫЙ")</f>
        <v>БАЗОВЫЙ</v>
      </c>
      <c r="C268" s="4" t="str">
        <f ca="1">IFERROR(__xludf.DUMMYFUNCTION("""COMPUTED_VALUE"""),"UP2-RTL15A-1CRZKZ20")</f>
        <v>UP2-RTL15A-1CRZKZ20</v>
      </c>
      <c r="D268" s="4" t="str">
        <f ca="1">IFERROR(__xludf.DUMMYFUNCTION("""COMPUTED_VALUE"""),"Переход на Mobile SMARTS: Магазин 15, БАЗОВЫЙ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"&amp;"(в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8" s="4" t="str">
        <f ca="1">IFERROR(__xludf.DUMMYFUNCTION("""COMPUTED_VALUE"""),"Переход на Mobile SMARTS: Магазин 15, БАЗОВЫЙ для «1С: Розница для Казахстана 2.0», для работы с товаром по штрихкодам ")</f>
        <v xml:space="preserve">Переход на Mobile SMARTS: Магазин 15, БАЗОВЫЙ для «1С: Розница для Казахстана 2.0», для работы с товаром по штрихкодам </v>
      </c>
      <c r="F268" s="5">
        <f ca="1">IFERROR(__xludf.DUMMYFUNCTION("""COMPUTED_VALUE"""),4325)</f>
        <v>4325</v>
      </c>
    </row>
    <row r="269" spans="1:6" ht="44.25" customHeight="1" x14ac:dyDescent="0.2">
      <c r="A269" s="4" t="str">
        <f ca="1">IFERROR(__xludf.DUMMYFUNCTION("""COMPUTED_VALUE"""),"«1С: Розница для Казахстана 2.0»")</f>
        <v>«1С: Розница для Казахстана 2.0»</v>
      </c>
      <c r="B269" s="4" t="str">
        <f ca="1">IFERROR(__xludf.DUMMYFUNCTION("""COMPUTED_VALUE"""),"РАСШИРЕННЫЙ")</f>
        <v>РАСШИРЕННЫЙ</v>
      </c>
      <c r="C269" s="4" t="str">
        <f ca="1">IFERROR(__xludf.DUMMYFUNCTION("""COMPUTED_VALUE"""),"UP2-RTL15B-1CRZKZ20")</f>
        <v>UP2-RTL15B-1CRZKZ20</v>
      </c>
      <c r="D269" s="4" t="str">
        <f ca="1">IFERROR(__xludf.DUMMYFUNCTION("""COMPUTED_VALUE"""),"Переход на Mobile SMARTS: Магазин 15, РАСШИРЕННЫЙ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переоце"&amp;"нка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измене"&amp;"ние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9" s="4" t="str">
        <f ca="1">IFERROR(__xludf.DUMMYFUNCTION("""COMPUTED_VALUE"""),"Переход на Mobile SMARTS: Магазин 15, РАСШИРЕННЫЙ для «1С: Розница для Казахстана 2.0», для работы с товаром по штрихкодам ")</f>
        <v xml:space="preserve">Переход на Mobile SMARTS: Магазин 15, РАСШИРЕННЫЙ для «1С: Розница для Казахстана 2.0», для работы с товаром по штрихкодам </v>
      </c>
      <c r="F269" s="5">
        <f ca="1">IFERROR(__xludf.DUMMYFUNCTION("""COMPUTED_VALUE"""),7525)</f>
        <v>7525</v>
      </c>
    </row>
    <row r="270" spans="1:6" ht="44.25" customHeight="1" x14ac:dyDescent="0.2">
      <c r="A270" s="4" t="str">
        <f ca="1">IFERROR(__xludf.DUMMYFUNCTION("""COMPUTED_VALUE"""),"«1С: Розница для Казахстана 2.0»")</f>
        <v>«1С: Розница для Казахстана 2.0»</v>
      </c>
      <c r="B270" s="4" t="str">
        <f ca="1">IFERROR(__xludf.DUMMYFUNCTION("""COMPUTED_VALUE"""),"МЕГАМАРКЕТ")</f>
        <v>МЕГАМАРКЕТ</v>
      </c>
      <c r="C270" s="4" t="str">
        <f ca="1">IFERROR(__xludf.DUMMYFUNCTION("""COMPUTED_VALUE"""),"UP2-RTL15C-1CRZKZ20")</f>
        <v>UP2-RTL15C-1CRZKZ20</v>
      </c>
      <c r="D270" s="4" t="str">
        <f ca="1">IFERROR(__xludf.DUMMYFUNCTION("""COMPUTED_VALUE"""),"Переход на Mobile SMARTS: Магазин 15, МЕГАМАРКЕТ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0" s="4" t="str">
        <f ca="1">IFERROR(__xludf.DUMMYFUNCTION("""COMPUTED_VALUE"""),"Переход на Mobile SMARTS: Магазин 15, МЕГАМАРКЕТ для «1С: Розница для Казахстана 2.0», для работы с товаром по штрихкодам ")</f>
        <v xml:space="preserve">Переход на Mobile SMARTS: Магазин 15, МЕГАМАРКЕТ для «1С: Розница для Казахстана 2.0», для работы с товаром по штрихкодам </v>
      </c>
      <c r="F270" s="5">
        <f ca="1">IFERROR(__xludf.DUMMYFUNCTION("""COMPUTED_VALUE"""),10775)</f>
        <v>10775</v>
      </c>
    </row>
    <row r="271" spans="1:6" ht="44.25" customHeight="1" x14ac:dyDescent="0.2">
      <c r="A271" s="4" t="str">
        <f ca="1">IFERROR(__xludf.DUMMYFUNCTION("""COMPUTED_VALUE"""),"«1С: Розница для Казахстана 2.2»")</f>
        <v>«1С: Розница для Казахстана 2.2»</v>
      </c>
      <c r="B271" s="4" t="str">
        <f ca="1">IFERROR(__xludf.DUMMYFUNCTION("""COMPUTED_VALUE"""),"МИНИМУМ")</f>
        <v>МИНИМУМ</v>
      </c>
      <c r="C271" s="4" t="str">
        <f ca="1">IFERROR(__xludf.DUMMYFUNCTION("""COMPUTED_VALUE"""),"UP2-RTL15M-1CRZKZ22")</f>
        <v>UP2-RTL15M-1CRZKZ22</v>
      </c>
      <c r="D271" s="4" t="str">
        <f ca="1">IFERROR(__xludf.DUMMYFUNCTION("""COMPUTED_VALUE"""),"Переход на Mobile SMARTS: Магазин 15, МИНИМУМ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просмот"&amp;"р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"&amp;"на 1 (один) год")</f>
        <v>Переход на Mobile SMARTS: Магазин 15, МИНИМУМ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71" s="4" t="str">
        <f ca="1">IFERROR(__xludf.DUMMYFUNCTION("""COMPUTED_VALUE"""),"Переход на Mobile SMARTS: Магазин 15, МИНИМУМ для «1С: Розница для Казахстана 2.2», для работы с товаром по штрихкодам ")</f>
        <v xml:space="preserve">Переход на Mobile SMARTS: Магазин 15, МИНИМУМ для «1С: Розница для Казахстана 2.2», для работы с товаром по штрихкодам </v>
      </c>
      <c r="F271" s="5">
        <f ca="1">IFERROR(__xludf.DUMMYFUNCTION("""COMPUTED_VALUE"""),1725)</f>
        <v>1725</v>
      </c>
    </row>
    <row r="272" spans="1:6" ht="44.25" customHeight="1" x14ac:dyDescent="0.2">
      <c r="A272" s="4" t="str">
        <f ca="1">IFERROR(__xludf.DUMMYFUNCTION("""COMPUTED_VALUE"""),"«1С: Розница для Казахстана 2.2»")</f>
        <v>«1С: Розница для Казахстана 2.2»</v>
      </c>
      <c r="B272" s="4" t="str">
        <f ca="1">IFERROR(__xludf.DUMMYFUNCTION("""COMPUTED_VALUE"""),"БАЗОВЫЙ")</f>
        <v>БАЗОВЫЙ</v>
      </c>
      <c r="C272" s="4" t="str">
        <f ca="1">IFERROR(__xludf.DUMMYFUNCTION("""COMPUTED_VALUE"""),"UP2-RTL15A-1CRZKZ22")</f>
        <v>UP2-RTL15A-1CRZKZ22</v>
      </c>
      <c r="D272" s="4" t="str">
        <f ca="1">IFERROR(__xludf.DUMMYFUNCTION("""COMPUTED_VALUE"""),"Переход на Mobile SMARTS: Магазин 15, БАЗОВЫЙ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"&amp;"(в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2" s="4" t="str">
        <f ca="1">IFERROR(__xludf.DUMMYFUNCTION("""COMPUTED_VALUE"""),"Переход на Mobile SMARTS: Магазин 15, БАЗОВЫЙ для «1С: Розница для Казахстана 2.2», для работы с товаром по штрихкодам ")</f>
        <v xml:space="preserve">Переход на Mobile SMARTS: Магазин 15, БАЗОВЫЙ для «1С: Розница для Казахстана 2.2», для работы с товаром по штрихкодам </v>
      </c>
      <c r="F272" s="5">
        <f ca="1">IFERROR(__xludf.DUMMYFUNCTION("""COMPUTED_VALUE"""),4325)</f>
        <v>4325</v>
      </c>
    </row>
    <row r="273" spans="1:6" ht="44.25" customHeight="1" x14ac:dyDescent="0.2">
      <c r="A273" s="4" t="str">
        <f ca="1">IFERROR(__xludf.DUMMYFUNCTION("""COMPUTED_VALUE"""),"«1С: Розница для Казахстана 2.2»")</f>
        <v>«1С: Розница для Казахстана 2.2»</v>
      </c>
      <c r="B273" s="4" t="str">
        <f ca="1">IFERROR(__xludf.DUMMYFUNCTION("""COMPUTED_VALUE"""),"РАСШИРЕННЫЙ")</f>
        <v>РАСШИРЕННЫЙ</v>
      </c>
      <c r="C273" s="4" t="str">
        <f ca="1">IFERROR(__xludf.DUMMYFUNCTION("""COMPUTED_VALUE"""),"UP2-RTL15B-1CRZKZ22")</f>
        <v>UP2-RTL15B-1CRZKZ22</v>
      </c>
      <c r="D273" s="4" t="str">
        <f ca="1">IFERROR(__xludf.DUMMYFUNCTION("""COMPUTED_VALUE"""),"Переход на Mobile SMARTS: Магазин 15, РАСШИРЕННЫЙ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переоце"&amp;"нка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измене"&amp;"ние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3" s="4" t="str">
        <f ca="1">IFERROR(__xludf.DUMMYFUNCTION("""COMPUTED_VALUE"""),"Переход на Mobile SMARTS: Магазин 15, РАСШИРЕННЫЙ для «1С: Розница для Казахстана 2.2», для работы с товаром по штрихкодам ")</f>
        <v xml:space="preserve">Переход на Mobile SMARTS: Магазин 15, РАСШИРЕННЫЙ для «1С: Розница для Казахстана 2.2», для работы с товаром по штрихкодам </v>
      </c>
      <c r="F273" s="5">
        <f ca="1">IFERROR(__xludf.DUMMYFUNCTION("""COMPUTED_VALUE"""),7525)</f>
        <v>7525</v>
      </c>
    </row>
    <row r="274" spans="1:6" ht="44.25" customHeight="1" x14ac:dyDescent="0.2">
      <c r="A274" s="4" t="str">
        <f ca="1">IFERROR(__xludf.DUMMYFUNCTION("""COMPUTED_VALUE"""),"«1С: Розница для Казахстана 2.2»")</f>
        <v>«1С: Розница для Казахстана 2.2»</v>
      </c>
      <c r="B274" s="4" t="str">
        <f ca="1">IFERROR(__xludf.DUMMYFUNCTION("""COMPUTED_VALUE"""),"МЕГАМАРКЕТ")</f>
        <v>МЕГАМАРКЕТ</v>
      </c>
      <c r="C274" s="4" t="str">
        <f ca="1">IFERROR(__xludf.DUMMYFUNCTION("""COMPUTED_VALUE"""),"UP2-RTL15C-1CRZKZ22")</f>
        <v>UP2-RTL15C-1CRZKZ22</v>
      </c>
      <c r="D274" s="4" t="str">
        <f ca="1">IFERROR(__xludf.DUMMYFUNCTION("""COMPUTED_VALUE"""),"Переход на Mobile SMARTS: Магазин 15, МЕГАМАРКЕТ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4" s="4" t="str">
        <f ca="1">IFERROR(__xludf.DUMMYFUNCTION("""COMPUTED_VALUE"""),"Переход на Mobile SMARTS: Магазин 15, МЕГАМАРКЕТ для «1С: Розница для Казахстана 2.2», для работы с товаром по штрихкодам ")</f>
        <v xml:space="preserve">Переход на Mobile SMARTS: Магазин 15, МЕГАМАРКЕТ для «1С: Розница для Казахстана 2.2», для работы с товаром по штрихкодам </v>
      </c>
      <c r="F274" s="5">
        <f ca="1">IFERROR(__xludf.DUMMYFUNCTION("""COMPUTED_VALUE"""),10775)</f>
        <v>10775</v>
      </c>
    </row>
    <row r="275" spans="1:6" ht="44.25" customHeight="1" x14ac:dyDescent="0.2">
      <c r="A275" s="4" t="str">
        <f ca="1">IFERROR(__xludf.DUMMYFUNCTION("""COMPUTED_VALUE"""),"«1С: Розница для Казахстана 2.3»")</f>
        <v>«1С: Розница для Казахстана 2.3»</v>
      </c>
      <c r="B275" s="4" t="str">
        <f ca="1">IFERROR(__xludf.DUMMYFUNCTION("""COMPUTED_VALUE"""),"МИНИМУМ")</f>
        <v>МИНИМУМ</v>
      </c>
      <c r="C275" s="4" t="str">
        <f ca="1">IFERROR(__xludf.DUMMYFUNCTION("""COMPUTED_VALUE"""),"UP2-RTL15M-1CRZKZ23")</f>
        <v>UP2-RTL15M-1CRZKZ23</v>
      </c>
      <c r="D275" s="4" t="str">
        <f ca="1">IFERROR(__xludf.DUMMYFUNCTION("""COMPUTED_VALUE"""),"Переход на Mobile SMARTS: Магазин 15, МИНИМУМ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просмот"&amp;"р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"&amp;"на 1 (один) год")</f>
        <v>Переход на Mobile SMARTS: Магазин 15, МИНИМУМ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75" s="4" t="str">
        <f ca="1">IFERROR(__xludf.DUMMYFUNCTION("""COMPUTED_VALUE"""),"Переход на Mobile SMARTS: Магазин 15, МИНИМУМ для «1С: Розница для Казахстана 2.3», для работы с товаром по штрихкодам ")</f>
        <v xml:space="preserve">Переход на Mobile SMARTS: Магазин 15, МИНИМУМ для «1С: Розница для Казахстана 2.3», для работы с товаром по штрихкодам </v>
      </c>
      <c r="F275" s="5">
        <f ca="1">IFERROR(__xludf.DUMMYFUNCTION("""COMPUTED_VALUE"""),1725)</f>
        <v>1725</v>
      </c>
    </row>
    <row r="276" spans="1:6" ht="44.25" customHeight="1" x14ac:dyDescent="0.2">
      <c r="A276" s="4" t="str">
        <f ca="1">IFERROR(__xludf.DUMMYFUNCTION("""COMPUTED_VALUE"""),"«1С: Розница для Казахстана 2.3»")</f>
        <v>«1С: Розница для Казахстана 2.3»</v>
      </c>
      <c r="B276" s="4" t="str">
        <f ca="1">IFERROR(__xludf.DUMMYFUNCTION("""COMPUTED_VALUE"""),"БАЗОВЫЙ")</f>
        <v>БАЗОВЫЙ</v>
      </c>
      <c r="C276" s="4" t="str">
        <f ca="1">IFERROR(__xludf.DUMMYFUNCTION("""COMPUTED_VALUE"""),"UP2-RTL15A-1CRZKZ23")</f>
        <v>UP2-RTL15A-1CRZKZ23</v>
      </c>
      <c r="D276" s="4" t="str">
        <f ca="1">IFERROR(__xludf.DUMMYFUNCTION("""COMPUTED_VALUE"""),"Переход на Mobile SMARTS: Магазин 15, БАЗОВЫЙ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"&amp;"(в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6" s="4" t="str">
        <f ca="1">IFERROR(__xludf.DUMMYFUNCTION("""COMPUTED_VALUE"""),"Переход на Mobile SMARTS: Магазин 15, БАЗОВЫЙ для «1С: Розница для Казахстана 2.3», для работы с товаром по штрихкодам ")</f>
        <v xml:space="preserve">Переход на Mobile SMARTS: Магазин 15, БАЗОВЫЙ для «1С: Розница для Казахстана 2.3», для работы с товаром по штрихкодам </v>
      </c>
      <c r="F276" s="5">
        <f ca="1">IFERROR(__xludf.DUMMYFUNCTION("""COMPUTED_VALUE"""),4325)</f>
        <v>4325</v>
      </c>
    </row>
    <row r="277" spans="1:6" ht="44.25" customHeight="1" x14ac:dyDescent="0.2">
      <c r="A277" s="4" t="str">
        <f ca="1">IFERROR(__xludf.DUMMYFUNCTION("""COMPUTED_VALUE"""),"«1С: Розница для Казахстана 2.3»")</f>
        <v>«1С: Розница для Казахстана 2.3»</v>
      </c>
      <c r="B277" s="4" t="str">
        <f ca="1">IFERROR(__xludf.DUMMYFUNCTION("""COMPUTED_VALUE"""),"РАСШИРЕННЫЙ")</f>
        <v>РАСШИРЕННЫЙ</v>
      </c>
      <c r="C277" s="4" t="str">
        <f ca="1">IFERROR(__xludf.DUMMYFUNCTION("""COMPUTED_VALUE"""),"UP2-RTL15B-1CRZKZ23")</f>
        <v>UP2-RTL15B-1CRZKZ23</v>
      </c>
      <c r="D277" s="4" t="str">
        <f ca="1">IFERROR(__xludf.DUMMYFUNCTION("""COMPUTED_VALUE"""),"Переход на Mobile SMARTS: Магазин 15, РАСШИРЕННЫЙ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переоце"&amp;"нка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измене"&amp;"ние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7" s="4" t="str">
        <f ca="1">IFERROR(__xludf.DUMMYFUNCTION("""COMPUTED_VALUE"""),"Переход на Mobile SMARTS: Магазин 15, РАСШИРЕННЫЙ для «1С: Розница для Казахстана 2.3», для работы с товаром по штрихкодам ")</f>
        <v xml:space="preserve">Переход на Mobile SMARTS: Магазин 15, РАСШИРЕННЫЙ для «1С: Розница для Казахстана 2.3», для работы с товаром по штрихкодам </v>
      </c>
      <c r="F277" s="5">
        <f ca="1">IFERROR(__xludf.DUMMYFUNCTION("""COMPUTED_VALUE"""),7525)</f>
        <v>7525</v>
      </c>
    </row>
    <row r="278" spans="1:6" ht="44.25" customHeight="1" x14ac:dyDescent="0.2">
      <c r="A278" s="4" t="str">
        <f ca="1">IFERROR(__xludf.DUMMYFUNCTION("""COMPUTED_VALUE"""),"«1С: Розница для Казахстана 2.3»")</f>
        <v>«1С: Розница для Казахстана 2.3»</v>
      </c>
      <c r="B278" s="4" t="str">
        <f ca="1">IFERROR(__xludf.DUMMYFUNCTION("""COMPUTED_VALUE"""),"МЕГАМАРКЕТ")</f>
        <v>МЕГАМАРКЕТ</v>
      </c>
      <c r="C278" s="4" t="str">
        <f ca="1">IFERROR(__xludf.DUMMYFUNCTION("""COMPUTED_VALUE"""),"UP2-RTL15C-1CRZKZ23")</f>
        <v>UP2-RTL15C-1CRZKZ23</v>
      </c>
      <c r="D278" s="4" t="str">
        <f ca="1">IFERROR(__xludf.DUMMYFUNCTION("""COMPUTED_VALUE"""),"Переход на Mobile SMARTS: Магазин 15, МЕГАМАРКЕТ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8" s="4" t="str">
        <f ca="1">IFERROR(__xludf.DUMMYFUNCTION("""COMPUTED_VALUE"""),"Переход на Mobile SMARTS: Магазин 15, МЕГАМАРКЕТ для «1С: Розница для Казахстана 2.3», для работы с товаром по штрихкодам ")</f>
        <v xml:space="preserve">Переход на Mobile SMARTS: Магазин 15, МЕГАМАРКЕТ для «1С: Розница для Казахстана 2.3», для работы с товаром по штрихкодам </v>
      </c>
      <c r="F278" s="5">
        <f ca="1">IFERROR(__xludf.DUMMYFUNCTION("""COMPUTED_VALUE"""),10775)</f>
        <v>10775</v>
      </c>
    </row>
    <row r="279" spans="1:6" ht="44.25" customHeight="1" x14ac:dyDescent="0.2">
      <c r="A279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79" s="4" t="str">
        <f ca="1">IFERROR(__xludf.DUMMYFUNCTION("""COMPUTED_VALUE"""),"МИНИМУМ")</f>
        <v>МИНИМУМ</v>
      </c>
      <c r="C279" s="4" t="str">
        <f ca="1">IFERROR(__xludf.DUMMYFUNCTION("""COMPUTED_VALUE"""),"UP2-RTL15M-1CUTPKZ20")</f>
        <v>UP2-RTL15M-1CUTPKZ20</v>
      </c>
      <c r="D279" s="4" t="str">
        <f ca="1">IFERROR(__xludf.DUMMYFUNCTION("""COMPUTED_VALUE"""),"Переход на Mobile SMARTS: Магазин 15, МИНИМУМ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штрихкодов"&amp;",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обновлени"&amp;"я и обмен через Интернет на 1 (один) год")</f>
        <v>Переход на Mobile SMARTS: Магазин 15, МИНИМУМ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79" s="4" t="str">
        <f ca="1">IFERROR(__xludf.DUMMYFUNCTION("""COMPUTED_VALUE"""),"Переход на Mobile SMARTS: Магазин 15, МИНИМУМ для «1С: Управление торговым предприятием для Казахстана 2.0», для работы с товаром по штрихкодам ")</f>
        <v xml:space="preserve">Переход на Mobile SMARTS: Магазин 15, МИНИМУМ для «1С: Управление торговым предприятием для Казахстана 2.0», для работы с товаром по штрихкодам </v>
      </c>
      <c r="F279" s="5">
        <f ca="1">IFERROR(__xludf.DUMMYFUNCTION("""COMPUTED_VALUE"""),1725)</f>
        <v>1725</v>
      </c>
    </row>
    <row r="280" spans="1:6" ht="44.25" customHeight="1" x14ac:dyDescent="0.2">
      <c r="A280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80" s="4" t="str">
        <f ca="1">IFERROR(__xludf.DUMMYFUNCTION("""COMPUTED_VALUE"""),"БАЗОВЫЙ")</f>
        <v>БАЗОВЫЙ</v>
      </c>
      <c r="C280" s="4" t="str">
        <f ca="1">IFERROR(__xludf.DUMMYFUNCTION("""COMPUTED_VALUE"""),"UP2-RTL15A-1CUTPKZ20")</f>
        <v>UP2-RTL15A-1CUTPKZ20</v>
      </c>
      <c r="D280" s="4" t="str">
        <f ca="1">IFERROR(__xludf.DUMMYFUNCTION("""COMPUTED_VALUE"""),"Переход на Mobile SMARTS: Магазин 15, БАЗОВЫЙ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0" s="4" t="str">
        <f ca="1">IFERROR(__xludf.DUMMYFUNCTION("""COMPUTED_VALUE"""),"Переход на Mobile SMARTS: Магазин 15, БАЗОВЫЙ для «1С: Управление торговым предприятием для Казахстана 2.0», для работы с товаром по штрихкодам ")</f>
        <v xml:space="preserve">Переход на Mobile SMARTS: Магазин 15, БАЗОВЫЙ для «1С: Управление торговым предприятием для Казахстана 2.0», для работы с товаром по штрихкодам </v>
      </c>
      <c r="F280" s="5">
        <f ca="1">IFERROR(__xludf.DUMMYFUNCTION("""COMPUTED_VALUE"""),4325)</f>
        <v>4325</v>
      </c>
    </row>
    <row r="281" spans="1:6" ht="44.25" customHeight="1" x14ac:dyDescent="0.2">
      <c r="A281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81" s="4" t="str">
        <f ca="1">IFERROR(__xludf.DUMMYFUNCTION("""COMPUTED_VALUE"""),"РАСШИРЕННЫЙ")</f>
        <v>РАСШИРЕННЫЙ</v>
      </c>
      <c r="C281" s="4" t="str">
        <f ca="1">IFERROR(__xludf.DUMMYFUNCTION("""COMPUTED_VALUE"""),"UP2-RTL15B-1CUTPKZ20")</f>
        <v>UP2-RTL15B-1CUTPKZ20</v>
      </c>
      <c r="D281" s="4" t="str">
        <f ca="1">IFERROR(__xludf.DUMMYFUNCTION("""COMPUTED_VALUE"""),"Переход на Mobile SMARTS: Магазин 15, РАСШИРЕННЫЙ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поступление"&amp;",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1" s="4" t="str">
        <f ca="1">IFERROR(__xludf.DUMMYFUNCTION("""COMPUTED_VALUE"""),"Переход на Mobile SMARTS: Магазин 15, РАСШИРЕННЫЙ для «1С: Управление торговым предприятием для Казахстана 2.0», для работы с товаром по штрихкодам ")</f>
        <v xml:space="preserve">Переход на Mobile SMARTS: Магазин 15, РАСШИРЕННЫЙ для «1С: Управление торговым предприятием для Казахстана 2.0», для работы с товаром по штрихкодам </v>
      </c>
      <c r="F281" s="5">
        <f ca="1">IFERROR(__xludf.DUMMYFUNCTION("""COMPUTED_VALUE"""),7525)</f>
        <v>7525</v>
      </c>
    </row>
    <row r="282" spans="1:6" ht="44.25" customHeight="1" x14ac:dyDescent="0.2">
      <c r="A282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82" s="4" t="str">
        <f ca="1">IFERROR(__xludf.DUMMYFUNCTION("""COMPUTED_VALUE"""),"МЕГАМАРКЕТ")</f>
        <v>МЕГАМАРКЕТ</v>
      </c>
      <c r="C282" s="4" t="str">
        <f ca="1">IFERROR(__xludf.DUMMYFUNCTION("""COMPUTED_VALUE"""),"UP2-RTL15C-1CUTPKZ20")</f>
        <v>UP2-RTL15C-1CUTPKZ20</v>
      </c>
      <c r="D282" s="4" t="str">
        <f ca="1">IFERROR(__xludf.DUMMYFUNCTION("""COMPUTED_VALUE"""),"Переход на Mobile SMARTS: Магазин 15, МЕГАМАРКЕТ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2" s="4" t="str">
        <f ca="1">IFERROR(__xludf.DUMMYFUNCTION("""COMPUTED_VALUE"""),"Переход на Mobile SMARTS: Магазин 15, МЕГАМАРКЕТ для «1С: Управление торговым предприятием для Казахстана 2.0», для работы с товаром по штрихкодам ")</f>
        <v xml:space="preserve">Переход на Mobile SMARTS: Магазин 15, МЕГАМАРКЕТ для «1С: Управление торговым предприятием для Казахстана 2.0», для работы с товаром по штрихкодам </v>
      </c>
      <c r="F282" s="5">
        <f ca="1">IFERROR(__xludf.DUMMYFUNCTION("""COMPUTED_VALUE"""),10775)</f>
        <v>10775</v>
      </c>
    </row>
    <row r="283" spans="1:6" ht="44.25" customHeight="1" x14ac:dyDescent="0.2">
      <c r="A283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3" s="4" t="str">
        <f ca="1">IFERROR(__xludf.DUMMYFUNCTION("""COMPUTED_VALUE"""),"МИНИМУМ")</f>
        <v>МИНИМУМ</v>
      </c>
      <c r="C283" s="4" t="str">
        <f ca="1">IFERROR(__xludf.DUMMYFUNCTION("""COMPUTED_VALUE"""),"UP2-RTL15M-1CUTBEL33")</f>
        <v>UP2-RTL15M-1CUTBEL33</v>
      </c>
      <c r="D283" s="4" t="str">
        <f ca="1">IFERROR(__xludf.DUMMYFUNCTION("""COMPUTED_VALUE"""),"Переход на Mobile SMARTS: Магазин 15, МИНИМУМ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инвентаризац"&amp;"ия,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чере"&amp;"з Интернет на 1 (один) год")</f>
        <v>Переход на Mobile SMARTS: Магазин 15, МИНИМУМ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83" s="4" t="str">
        <f ca="1">IFERROR(__xludf.DUMMYFUNCTION("""COMPUTED_VALUE"""),"Переход на Mobile SMARTS: Магазин 15, МИНИМУМ для «1С: Управление торговлей для Беларуси 3.3», для работы с товаром по штрихкодам ")</f>
        <v xml:space="preserve">Переход на Mobile SMARTS: Магазин 15, МИНИМУМ для «1С: Управление торговлей для Беларуси 3.3», для работы с товаром по штрихкодам </v>
      </c>
      <c r="F283" s="5">
        <f ca="1">IFERROR(__xludf.DUMMYFUNCTION("""COMPUTED_VALUE"""),1725)</f>
        <v>1725</v>
      </c>
    </row>
    <row r="284" spans="1:6" ht="44.25" customHeight="1" x14ac:dyDescent="0.2">
      <c r="A284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4" s="4" t="str">
        <f ca="1">IFERROR(__xludf.DUMMYFUNCTION("""COMPUTED_VALUE"""),"БАЗОВЫЙ")</f>
        <v>БАЗОВЫЙ</v>
      </c>
      <c r="C284" s="4" t="str">
        <f ca="1">IFERROR(__xludf.DUMMYFUNCTION("""COMPUTED_VALUE"""),"UP2-RTL15A-1CUTBEL33")</f>
        <v>UP2-RTL15A-1CUTBEL33</v>
      </c>
      <c r="D284" s="4" t="str">
        <f ca="1">IFERROR(__xludf.DUMMYFUNCTION("""COMPUTED_VALUE"""),"Переход на Mobile SMARTS: Магазин 15, БАЗОВЫЙ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"&amp;"переоценка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4" s="4" t="str">
        <f ca="1">IFERROR(__xludf.DUMMYFUNCTION("""COMPUTED_VALUE"""),"Переход на Mobile SMARTS: Магазин 15, БАЗОВЫЙ для «1С: Управление торговлей для Беларуси 3.3», для работы с товаром по штрихкодам ")</f>
        <v xml:space="preserve">Переход на Mobile SMARTS: Магазин 15, БАЗОВЫЙ для «1С: Управление торговлей для Беларуси 3.3», для работы с товаром по штрихкодам </v>
      </c>
      <c r="F284" s="5">
        <f ca="1">IFERROR(__xludf.DUMMYFUNCTION("""COMPUTED_VALUE"""),4325)</f>
        <v>4325</v>
      </c>
    </row>
    <row r="285" spans="1:6" ht="44.25" customHeight="1" x14ac:dyDescent="0.2">
      <c r="A285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5" s="4" t="str">
        <f ca="1">IFERROR(__xludf.DUMMYFUNCTION("""COMPUTED_VALUE"""),"РАСШИРЕННЫЙ")</f>
        <v>РАСШИРЕННЫЙ</v>
      </c>
      <c r="C285" s="4" t="str">
        <f ca="1">IFERROR(__xludf.DUMMYFUNCTION("""COMPUTED_VALUE"""),"UP2-RTL15B-1CUTBEL33")</f>
        <v>UP2-RTL15B-1CUTBEL33</v>
      </c>
      <c r="D285" s="4" t="str">
        <f ca="1">IFERROR(__xludf.DUMMYFUNCTION("""COMPUTED_VALUE"""),"Переход на Mobile SMARTS: Магазин 15, РАСШИРЕННЫЙ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инвентаризац"&amp;"ия,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экра"&amp;"не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5" s="4" t="str">
        <f ca="1">IFERROR(__xludf.DUMMYFUNCTION("""COMPUTED_VALUE"""),"Переход на Mobile SMARTS: Магазин 15, РАСШИРЕННЫЙ для «1С: Управление торговлей для Беларуси 3.3», для работы с товаром по штрихкодам ")</f>
        <v xml:space="preserve">Переход на Mobile SMARTS: Магазин 15, РАСШИРЕННЫЙ для «1С: Управление торговлей для Беларуси 3.3», для работы с товаром по штрихкодам </v>
      </c>
      <c r="F285" s="5">
        <f ca="1">IFERROR(__xludf.DUMMYFUNCTION("""COMPUTED_VALUE"""),7525)</f>
        <v>7525</v>
      </c>
    </row>
    <row r="286" spans="1:6" ht="44.25" customHeight="1" x14ac:dyDescent="0.2">
      <c r="A286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6" s="4" t="str">
        <f ca="1">IFERROR(__xludf.DUMMYFUNCTION("""COMPUTED_VALUE"""),"МЕГАМАРКЕТ")</f>
        <v>МЕГАМАРКЕТ</v>
      </c>
      <c r="C286" s="4" t="str">
        <f ca="1">IFERROR(__xludf.DUMMYFUNCTION("""COMPUTED_VALUE"""),"UP2-RTL15C-1CUTBEL33")</f>
        <v>UP2-RTL15C-1CUTBEL33</v>
      </c>
      <c r="D286" s="4" t="str">
        <f ca="1">IFERROR(__xludf.DUMMYFUNCTION("""COMPUTED_VALUE"""),"Переход на Mobile SMARTS: Магазин 15, МЕГАМАРКЕТ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инвентаризаци"&amp;"я,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оста"&amp;"тках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6" s="4" t="str">
        <f ca="1">IFERROR(__xludf.DUMMYFUNCTION("""COMPUTED_VALUE"""),"Переход на Mobile SMARTS: Магазин 15, МЕГАМАРКЕТ для «1С: Управление торговлей для Беларуси 3.3», для работы с товаром по штрихкодам ")</f>
        <v xml:space="preserve">Переход на Mobile SMARTS: Магазин 15, МЕГАМАРКЕТ для «1С: Управление торговлей для Беларуси 3.3», для работы с товаром по штрихкодам </v>
      </c>
      <c r="F286" s="5">
        <f ca="1">IFERROR(__xludf.DUMMYFUNCTION("""COMPUTED_VALUE"""),10775)</f>
        <v>10775</v>
      </c>
    </row>
    <row r="287" spans="1:6" ht="44.25" customHeight="1" x14ac:dyDescent="0.2">
      <c r="A287" s="4"/>
      <c r="B287" s="4"/>
      <c r="C287" s="4" t="str">
        <f ca="1">IFERROR(__xludf.DUMMYFUNCTION("""COMPUTED_VALUE"""),"UP2-")</f>
        <v>UP2-</v>
      </c>
      <c r="D287" s="4" t="str">
        <f ca="1">IFERROR(__xludf.DUMMYFUNCTION("""COMPUTED_VALUE"""),"Переход на Штрих-М")</f>
        <v>Переход на Штрих-М</v>
      </c>
      <c r="E287" s="4" t="str">
        <f ca="1">IFERROR(__xludf.DUMMYFUNCTION("""COMPUTED_VALUE"""),"#VALUE!")</f>
        <v>#VALUE!</v>
      </c>
      <c r="F287" s="4" t="str">
        <f ca="1">IFERROR(__xludf.DUMMYFUNCTION("""COMPUTED_VALUE"""),"#N/A")</f>
        <v>#N/A</v>
      </c>
    </row>
    <row r="288" spans="1:6" ht="44.25" customHeight="1" x14ac:dyDescent="0.2">
      <c r="A288" s="4" t="str">
        <f ca="1">IFERROR(__xludf.DUMMYFUNCTION("""COMPUTED_VALUE"""),"«Штрих-М: Торговое предприятие 5.2»")</f>
        <v>«Штрих-М: Торговое предприятие 5.2»</v>
      </c>
      <c r="B288" s="4" t="str">
        <f ca="1">IFERROR(__xludf.DUMMYFUNCTION("""COMPUTED_VALUE"""),"МИНИМУМ")</f>
        <v>МИНИМУМ</v>
      </c>
      <c r="C288" s="4" t="str">
        <f ca="1">IFERROR(__xludf.DUMMYFUNCTION("""COMPUTED_VALUE"""),"UP2-RTL15M-SHMTORG52")</f>
        <v>UP2-RTL15M-SHMTORG52</v>
      </c>
      <c r="D288" s="4" t="str">
        <f ca="1">IFERROR(__xludf.DUMMYFUNCTION("""COMPUTED_VALUE"""),"Переход на Mobile SMARTS: Магазин 15, МИНИМУМ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прос"&amp;"мотр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Переход на Mobile SMARTS: Магазин 15, МИНИМУМ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88" s="4" t="str">
        <f ca="1">IFERROR(__xludf.DUMMYFUNCTION("""COMPUTED_VALUE"""),"Переход на Mobile SMARTS: Магазин 15, МИНИМУМ для «Штрих-М: Торговое предприятие 5.2», для работы с товаром по штрихкодам ")</f>
        <v xml:space="preserve">Переход на Mobile SMARTS: Магазин 15, МИНИМУМ для «Штрих-М: Торговое предприятие 5.2», для работы с товаром по штрихкодам </v>
      </c>
      <c r="F288" s="5">
        <f ca="1">IFERROR(__xludf.DUMMYFUNCTION("""COMPUTED_VALUE"""),1725)</f>
        <v>1725</v>
      </c>
    </row>
    <row r="289" spans="1:6" ht="44.25" customHeight="1" x14ac:dyDescent="0.2">
      <c r="A289" s="4" t="str">
        <f ca="1">IFERROR(__xludf.DUMMYFUNCTION("""COMPUTED_VALUE"""),"«Штрих-М: Торговое предприятие 5.2»")</f>
        <v>«Штрих-М: Торговое предприятие 5.2»</v>
      </c>
      <c r="B289" s="4" t="str">
        <f ca="1">IFERROR(__xludf.DUMMYFUNCTION("""COMPUTED_VALUE"""),"БАЗОВЫЙ")</f>
        <v>БАЗОВЫЙ</v>
      </c>
      <c r="C289" s="4" t="str">
        <f ca="1">IFERROR(__xludf.DUMMYFUNCTION("""COMPUTED_VALUE"""),"UP2-RTL15A-SHMTORG52")</f>
        <v>UP2-RTL15A-SHMTORG52</v>
      </c>
      <c r="D289" s="4" t="str">
        <f ca="1">IFERROR(__xludf.DUMMYFUNCTION("""COMPUTED_VALUE"""),"Переход на Mobile SMARTS: Магазин 15, БАЗОВЫЙ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9" s="4" t="str">
        <f ca="1">IFERROR(__xludf.DUMMYFUNCTION("""COMPUTED_VALUE"""),"Переход на Mobile SMARTS: Магазин 15, БАЗОВЫЙ для «Штрих-М: Торговое предприятие 5.2», для работы с товаром по штрихкодам ")</f>
        <v xml:space="preserve">Переход на Mobile SMARTS: Магазин 15, БАЗОВЫЙ для «Штрих-М: Торговое предприятие 5.2», для работы с товаром по штрихкодам </v>
      </c>
      <c r="F289" s="5">
        <f ca="1">IFERROR(__xludf.DUMMYFUNCTION("""COMPUTED_VALUE"""),4325)</f>
        <v>4325</v>
      </c>
    </row>
    <row r="290" spans="1:6" ht="44.25" customHeight="1" x14ac:dyDescent="0.2">
      <c r="A290" s="4" t="str">
        <f ca="1">IFERROR(__xludf.DUMMYFUNCTION("""COMPUTED_VALUE"""),"«Штрих-М: Торговое предприятие 5.2»")</f>
        <v>«Штрих-М: Торговое предприятие 5.2»</v>
      </c>
      <c r="B290" s="4" t="str">
        <f ca="1">IFERROR(__xludf.DUMMYFUNCTION("""COMPUTED_VALUE"""),"РАСШИРЕННЫЙ")</f>
        <v>РАСШИРЕННЫЙ</v>
      </c>
      <c r="C290" s="4" t="str">
        <f ca="1">IFERROR(__xludf.DUMMYFUNCTION("""COMPUTED_VALUE"""),"UP2-RTL15B-SHMTORG52")</f>
        <v>UP2-RTL15B-SHMTORG52</v>
      </c>
      <c r="D290" s="4" t="str">
        <f ca="1">IFERROR(__xludf.DUMMYFUNCTION("""COMPUTED_VALUE"""),"Переход на Mobile SMARTS: Магазин 15, РАСШИРЕННЫЙ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0" s="4" t="str">
        <f ca="1">IFERROR(__xludf.DUMMYFUNCTION("""COMPUTED_VALUE"""),"Переход на Mobile SMARTS: Магазин 15, РАСШИРЕННЫЙ для «Штрих-М: Торговое предприятие 5.2», для работы с товаром по штрихкодам ")</f>
        <v xml:space="preserve">Переход на Mobile SMARTS: Магазин 15, РАСШИРЕННЫЙ для «Штрих-М: Торговое предприятие 5.2», для работы с товаром по штрихкодам </v>
      </c>
      <c r="F290" s="5">
        <f ca="1">IFERROR(__xludf.DUMMYFUNCTION("""COMPUTED_VALUE"""),7525)</f>
        <v>7525</v>
      </c>
    </row>
    <row r="291" spans="1:6" ht="44.25" customHeight="1" x14ac:dyDescent="0.2">
      <c r="A291" s="4" t="str">
        <f ca="1">IFERROR(__xludf.DUMMYFUNCTION("""COMPUTED_VALUE"""),"«Штрих-М: Торговое предприятие 5.2»")</f>
        <v>«Штрих-М: Торговое предприятие 5.2»</v>
      </c>
      <c r="B291" s="4" t="str">
        <f ca="1">IFERROR(__xludf.DUMMYFUNCTION("""COMPUTED_VALUE"""),"МЕГАМАРКЕТ")</f>
        <v>МЕГАМАРКЕТ</v>
      </c>
      <c r="C291" s="4" t="str">
        <f ca="1">IFERROR(__xludf.DUMMYFUNCTION("""COMPUTED_VALUE"""),"UP2-RTL15C-SHMTORG52")</f>
        <v>UP2-RTL15C-SHMTORG52</v>
      </c>
      <c r="D291" s="4" t="str">
        <f ca="1">IFERROR(__xludf.DUMMYFUNCTION("""COMPUTED_VALUE"""),"Переход на Mobile SMARTS: Магазин 15, МЕГАМАРКЕТ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1" s="4" t="str">
        <f ca="1">IFERROR(__xludf.DUMMYFUNCTION("""COMPUTED_VALUE"""),"Переход на Mobile SMARTS: Магазин 15, МЕГАМАРКЕТ для «Штрих-М: Торговое предприятие 5.2», для работы с товаром по штрихкодам ")</f>
        <v xml:space="preserve">Переход на Mobile SMARTS: Магазин 15, МЕГАМАРКЕТ для «Штрих-М: Торговое предприятие 5.2», для работы с товаром по штрихкодам </v>
      </c>
      <c r="F291" s="5">
        <f ca="1">IFERROR(__xludf.DUMMYFUNCTION("""COMPUTED_VALUE"""),10775)</f>
        <v>10775</v>
      </c>
    </row>
    <row r="292" spans="1:6" ht="44.25" customHeight="1" x14ac:dyDescent="0.2">
      <c r="A292" s="4" t="str">
        <f ca="1">IFERROR(__xludf.DUMMYFUNCTION("""COMPUTED_VALUE"""),"«Штрих-М: Торговое предприятие 5.2»")</f>
        <v>«Штрих-М: Торговое предприятие 5.2»</v>
      </c>
      <c r="B292" s="4" t="str">
        <f ca="1">IFERROR(__xludf.DUMMYFUNCTION("""COMPUTED_VALUE"""),"с ЕГАИС, БАЗОВЫЙ")</f>
        <v>с ЕГАИС, БАЗОВЫЙ</v>
      </c>
      <c r="C292" s="4" t="str">
        <f ca="1">IFERROR(__xludf.DUMMYFUNCTION("""COMPUTED_VALUE"""),"UP2-RTL15AE-SHMTORG52")</f>
        <v>UP2-RTL15AE-SHMTORG52</v>
      </c>
      <c r="D292" s="4" t="str">
        <f ca="1">IFERROR(__xludf.DUMMYFUNCTION("""COMPUTED_VALUE"""),"Переход на Mobile SMARTS: Магазин 15 с ЕГАИС, БАЗОВЫЙ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92" s="4" t="str">
        <f ca="1">IFERROR(__xludf.DUMMYFUNCTION("""COMPUTED_VALUE"""),"Переход на Mobile SMARTS: Магазин 15 с ЕГАИС, БАЗОВЫЙ для «Штрих-М: Торговое предприятие 5.2», для работы с маркированным товаром: алкоголь ЕГАИС и товары по штрихкодам ")</f>
        <v xml:space="preserve">Переход на Mobile SMARTS: Магазин 15 с ЕГАИС, БАЗОВЫЙ для «Штрих-М: Торговое предприятие 5.2», для работы с маркированным товаром: алкоголь ЕГАИС и товары по штрихкодам </v>
      </c>
      <c r="F292" s="5">
        <f ca="1">IFERROR(__xludf.DUMMYFUNCTION("""COMPUTED_VALUE"""),5500)</f>
        <v>5500</v>
      </c>
    </row>
    <row r="293" spans="1:6" ht="44.25" customHeight="1" x14ac:dyDescent="0.2">
      <c r="A293" s="4" t="str">
        <f ca="1">IFERROR(__xludf.DUMMYFUNCTION("""COMPUTED_VALUE"""),"«Штрих-М: Торговое предприятие 5.2»")</f>
        <v>«Штрих-М: Торговое предприятие 5.2»</v>
      </c>
      <c r="B293" s="4" t="str">
        <f ca="1">IFERROR(__xludf.DUMMYFUNCTION("""COMPUTED_VALUE"""),"с ЕГАИС, РАСШИРЕННЫЙ")</f>
        <v>с ЕГАИС, РАСШИРЕННЫЙ</v>
      </c>
      <c r="C293" s="4" t="str">
        <f ca="1">IFERROR(__xludf.DUMMYFUNCTION("""COMPUTED_VALUE"""),"UP2-RTL15BE-SHMTORG52")</f>
        <v>UP2-RTL15BE-SHMTORG52</v>
      </c>
      <c r="D293" s="4" t="str">
        <f ca="1">IFERROR(__xludf.DUMMYFUNCTION("""COMPUTED_VALUE"""),"Переход на Mobile SMARTS: Магазин 15 с ЕГАИС, РАСШИРЕННЫЙ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"&amp;"принтер,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 с ЕГАИС, РАСШИРЕННЫЙ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3" s="4" t="str">
        <f ca="1">IFERROR(__xludf.DUMMYFUNCTION("""COMPUTED_VALUE"""),"Переход на Mobile SMARTS: Магазин 15 с ЕГАИС, РАСШИРЕННЫЙ для «Штрих-М: Торговое предприятие 5.2», для работы с маркированным товаром: алкоголь ЕГАИС и товары по штрихкодам ")</f>
        <v xml:space="preserve">Переход на Mobile SMARTS: Магазин 15 с ЕГАИС, РАСШИРЕННЫЙ для «Штрих-М: Торговое предприятие 5.2», для работы с маркированным товаром: алкоголь ЕГАИС и товары по штрихкодам </v>
      </c>
      <c r="F293" s="5">
        <f ca="1">IFERROR(__xludf.DUMMYFUNCTION("""COMPUTED_VALUE"""),8725)</f>
        <v>8725</v>
      </c>
    </row>
    <row r="294" spans="1:6" ht="44.25" customHeight="1" x14ac:dyDescent="0.2">
      <c r="A294" s="4" t="str">
        <f ca="1">IFERROR(__xludf.DUMMYFUNCTION("""COMPUTED_VALUE"""),"«Штрих-М: Торговое предприятие 5.2»")</f>
        <v>«Штрих-М: Торговое предприятие 5.2»</v>
      </c>
      <c r="B294" s="4" t="str">
        <f ca="1">IFERROR(__xludf.DUMMYFUNCTION("""COMPUTED_VALUE"""),"с ЕГАИС (без CheckMark2), МЕГАМАРКЕТ")</f>
        <v>с ЕГАИС (без CheckMark2), МЕГАМАРКЕТ</v>
      </c>
      <c r="C294" s="4" t="str">
        <f ca="1">IFERROR(__xludf.DUMMYFUNCTION("""COMPUTED_VALUE"""),"UP2-RTL15CEV-SHMTORG52")</f>
        <v>UP2-RTL15CEV-SHMTORG52</v>
      </c>
      <c r="D294" s="4" t="str">
        <f ca="1">IFERROR(__xludf.DUMMYFUNCTION("""COMPUTED_VALUE"""),"Переход на 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есть"&amp;"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колл"&amp;"ективная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Переход на 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4" s="4" t="str">
        <f ca="1">IFERROR(__xludf.DUMMYFUNCTION("""COMPUTED_VALUE"""),"Переход на 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</v>
      </c>
      <c r="F294" s="5">
        <f ca="1">IFERROR(__xludf.DUMMYFUNCTION("""COMPUTED_VALUE"""),11925)</f>
        <v>11925</v>
      </c>
    </row>
    <row r="295" spans="1:6" ht="44.25" customHeight="1" x14ac:dyDescent="0.2">
      <c r="A295" s="4" t="str">
        <f ca="1">IFERROR(__xludf.DUMMYFUNCTION("""COMPUTED_VALUE"""),"«Штрих-М: Торговое предприятие 5.2»")</f>
        <v>«Штрих-М: Торговое предприятие 5.2»</v>
      </c>
      <c r="B295" s="4" t="str">
        <f ca="1">IFERROR(__xludf.DUMMYFUNCTION("""COMPUTED_VALUE"""),"с МОТП, БАЗОВЫЙ")</f>
        <v>с МОТП, БАЗОВЫЙ</v>
      </c>
      <c r="C295" s="4" t="str">
        <f ca="1">IFERROR(__xludf.DUMMYFUNCTION("""COMPUTED_VALUE"""),"UP2-RTL15AT-SHMTORG52")</f>
        <v>UP2-RTL15AT-SHMTORG52</v>
      </c>
      <c r="D295" s="4" t="str">
        <f ca="1">IFERROR(__xludf.DUMMYFUNCTION("""COMPUTED_VALUE"""),"Переход на Mobile SMARTS: Магазин 15 с МОТП, БАЗОВЫЙ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"&amp;"поступление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 с МОТП, БАЗОВЫЙ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5" s="4" t="str">
        <f ca="1">IFERROR(__xludf.DUMMYFUNCTION("""COMPUTED_VALUE"""),"Переход на Mobile SMARTS: Магазин 15 с МОТП, БАЗОВЫЙ для «Штрих-М: Торговое предприятие 5.2», для работы с маркированным товаром: ТАБАК и товары по штрихкодам ")</f>
        <v xml:space="preserve">Переход на Mobile SMARTS: Магазин 15 с МОТП, БАЗОВЫЙ для «Штрих-М: Торговое предприятие 5.2», для работы с маркированным товаром: ТАБАК и товары по штрихкодам </v>
      </c>
      <c r="F295" s="5">
        <f ca="1">IFERROR(__xludf.DUMMYFUNCTION("""COMPUTED_VALUE"""),5575)</f>
        <v>5575</v>
      </c>
    </row>
    <row r="296" spans="1:6" ht="44.25" customHeight="1" x14ac:dyDescent="0.2">
      <c r="A296" s="4" t="str">
        <f ca="1">IFERROR(__xludf.DUMMYFUNCTION("""COMPUTED_VALUE"""),"«Штрих-М: Торговое предприятие 5.2»")</f>
        <v>«Штрих-М: Торговое предприятие 5.2»</v>
      </c>
      <c r="B296" s="4" t="str">
        <f ca="1">IFERROR(__xludf.DUMMYFUNCTION("""COMPUTED_VALUE"""),"с МОТП, РАСШИРЕННЫЙ")</f>
        <v>с МОТП, РАСШИРЕННЫЙ</v>
      </c>
      <c r="C296" s="4" t="str">
        <f ca="1">IFERROR(__xludf.DUMMYFUNCTION("""COMPUTED_VALUE"""),"UP2-RTL15BT-SHMTORG52")</f>
        <v>UP2-RTL15BT-SHMTORG52</v>
      </c>
      <c r="D296" s="4" t="str">
        <f ca="1">IFERROR(__xludf.DUMMYFUNCTION("""COMPUTED_VALUE"""),"Переход на Mobile SMARTS: Магазин 15 с МОТП, РАСШИРЕННЫЙ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операц"&amp;"ии: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возможно"&amp;"сти: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(один"&amp;") год")</f>
        <v>Переход на Mobile SMARTS: Магазин 15 с МОТП, РАСШИРЕННЫЙ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6" s="4" t="str">
        <f ca="1">IFERROR(__xludf.DUMMYFUNCTION("""COMPUTED_VALUE"""),"Переход на Mobile SMARTS: Магазин 15 с МОТП, РАСШИРЕННЫЙ для «Штрих-М: Торговое предприятие 5.2», для работы с маркированным товаром: ТАБАК и товары по штрихкодам ")</f>
        <v xml:space="preserve">Переход на Mobile SMARTS: Магазин 15 с МОТП, РАСШИРЕННЫЙ для «Штрих-М: Торговое предприятие 5.2», для работы с маркированным товаром: ТАБАК и товары по штрихкодам </v>
      </c>
      <c r="F296" s="5">
        <f ca="1">IFERROR(__xludf.DUMMYFUNCTION("""COMPUTED_VALUE"""),8725)</f>
        <v>8725</v>
      </c>
    </row>
    <row r="297" spans="1:6" ht="44.25" customHeight="1" x14ac:dyDescent="0.2">
      <c r="A297" s="4" t="str">
        <f ca="1">IFERROR(__xludf.DUMMYFUNCTION("""COMPUTED_VALUE"""),"«Штрих-М: Торговое предприятие 5.2»")</f>
        <v>«Штрих-М: Торговое предприятие 5.2»</v>
      </c>
      <c r="B297" s="4" t="str">
        <f ca="1">IFERROR(__xludf.DUMMYFUNCTION("""COMPUTED_VALUE"""),"с МОТП, МЕГАМАРКЕТ")</f>
        <v>с МОТП, МЕГАМАРКЕТ</v>
      </c>
      <c r="C297" s="4" t="str">
        <f ca="1">IFERROR(__xludf.DUMMYFUNCTION("""COMPUTED_VALUE"""),"UP2-RTL15CT-SHMTORG52")</f>
        <v>UP2-RTL15CT-SHMTORG52</v>
      </c>
      <c r="D297" s="4" t="str">
        <f ca="1">IFERROR(__xludf.DUMMYFUNCTION("""COMPUTED_VALUE"""),"Переход на Mobile SMARTS: Магазин 15 с МОТП, МЕГАМАРКЕТ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операци"&amp;"и: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возможнос"&amp;"ти: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Переход на Mobile SMARTS: Магазин 15 с МОТП, МЕГАМАРКЕТ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7" s="4" t="str">
        <f ca="1">IFERROR(__xludf.DUMMYFUNCTION("""COMPUTED_VALUE"""),"Переход на Mobile SMARTS: Магазин 15 с МОТП, МЕГАМАРКЕТ для «Штрих-М: Торговое предприятие 5.2», для работы с маркированным товаром: ТАБАК и товары по штрихкодам ")</f>
        <v xml:space="preserve">Переход на Mobile SMARTS: Магазин 15 с МОТП, МЕГАМАРКЕТ для «Штрих-М: Торговое предприятие 5.2», для работы с маркированным товаром: ТАБАК и товары по штрихкодам </v>
      </c>
      <c r="F297" s="5">
        <f ca="1">IFERROR(__xludf.DUMMYFUNCTION("""COMPUTED_VALUE"""),11925)</f>
        <v>11925</v>
      </c>
    </row>
    <row r="298" spans="1:6" ht="44.25" customHeight="1" x14ac:dyDescent="0.2">
      <c r="A298" s="4" t="str">
        <f ca="1">IFERROR(__xludf.DUMMYFUNCTION("""COMPUTED_VALUE"""),"«Штрих-М: Торговое предприятие 5.2»")</f>
        <v>«Штрих-М: Торговое предприятие 5.2»</v>
      </c>
      <c r="B298" s="4" t="str">
        <f ca="1">IFERROR(__xludf.DUMMYFUNCTION("""COMPUTED_VALUE"""),"с ЕГАИС и МОТП, БАЗОВЫЙ")</f>
        <v>с ЕГАИС и МОТП, БАЗОВЫЙ</v>
      </c>
      <c r="C298" s="4" t="str">
        <f ca="1">IFERROR(__xludf.DUMMYFUNCTION("""COMPUTED_VALUE"""),"UP2-RTL15AET-SHMTORG52")</f>
        <v>UP2-RTL15AET-SHMTORG52</v>
      </c>
      <c r="D298" s="4" t="str">
        <f ca="1">IFERROR(__xludf.DUMMYFUNCTION("""COMPUTED_VALUE"""),"Переход на 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до"&amp;"ступные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8" s="4" t="str">
        <f ca="1">IFERROR(__xludf.DUMMYFUNCTION("""COMPUTED_VALUE"""),"Переход на 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</v>
      </c>
      <c r="F298" s="5">
        <f ca="1">IFERROR(__xludf.DUMMYFUNCTION("""COMPUTED_VALUE"""),6075)</f>
        <v>6075</v>
      </c>
    </row>
    <row r="299" spans="1:6" ht="44.25" customHeight="1" x14ac:dyDescent="0.2">
      <c r="A299" s="4" t="str">
        <f ca="1">IFERROR(__xludf.DUMMYFUNCTION("""COMPUTED_VALUE"""),"«Штрих-М: Торговое предприятие 5.2»")</f>
        <v>«Штрих-М: Торговое предприятие 5.2»</v>
      </c>
      <c r="B299" s="4" t="str">
        <f ca="1">IFERROR(__xludf.DUMMYFUNCTION("""COMPUTED_VALUE"""),"с ЕГАИС и МОТП, РАСШИРЕННЫЙ")</f>
        <v>с ЕГАИС и МОТП, РАСШИРЕННЫЙ</v>
      </c>
      <c r="C299" s="4" t="str">
        <f ca="1">IFERROR(__xludf.DUMMYFUNCTION("""COMPUTED_VALUE"""),"UP2-RTL15BET-SHMTORG52")</f>
        <v>UP2-RTL15BET-SHMTORG52</v>
      </c>
      <c r="D299" s="4" t="str">
        <f ca="1">IFERROR(__xludf.DUMMYFUNCTION("""COMPUTED_VALUE"""),"Переход на 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"&amp;"/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пере"&amp;"мещение,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9" s="4" t="str">
        <f ca="1">IFERROR(__xludf.DUMMYFUNCTION("""COMPUTED_VALUE"""),"Переход на 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</v>
      </c>
      <c r="F299" s="5">
        <f ca="1">IFERROR(__xludf.DUMMYFUNCTION("""COMPUTED_VALUE"""),9275)</f>
        <v>9275</v>
      </c>
    </row>
    <row r="300" spans="1:6" ht="44.25" customHeight="1" x14ac:dyDescent="0.2">
      <c r="A300" s="4" t="str">
        <f ca="1">IFERROR(__xludf.DUMMYFUNCTION("""COMPUTED_VALUE"""),"«Штрих-М: Торговое предприятие 5.2»")</f>
        <v>«Штрих-М: Торговое предприятие 5.2»</v>
      </c>
      <c r="B300" s="4" t="str">
        <f ca="1">IFERROR(__xludf.DUMMYFUNCTION("""COMPUTED_VALUE"""),"с ЕГАИС и МОТП, МЕГАМАРКЕТ")</f>
        <v>с ЕГАИС и МОТП, МЕГАМАРКЕТ</v>
      </c>
      <c r="C300" s="4" t="str">
        <f ca="1">IFERROR(__xludf.DUMMYFUNCTION("""COMPUTED_VALUE"""),"UP2-RTL15CET-SHMTORG52")</f>
        <v>UP2-RTL15CET-SHMTORG52</v>
      </c>
      <c r="D300" s="4" t="str">
        <f ca="1">IFERROR(__xludf.DUMMYFUNCTION("""COMPUTED_VALUE"""),"Переход на 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0" s="4" t="str">
        <f ca="1">IFERROR(__xludf.DUMMYFUNCTION("""COMPUTED_VALUE"""),"Переход на 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</v>
      </c>
      <c r="F300" s="5">
        <f ca="1">IFERROR(__xludf.DUMMYFUNCTION("""COMPUTED_VALUE"""),13175)</f>
        <v>13175</v>
      </c>
    </row>
    <row r="301" spans="1:6" ht="44.25" customHeight="1" x14ac:dyDescent="0.2">
      <c r="A301" s="4" t="str">
        <f ca="1">IFERROR(__xludf.DUMMYFUNCTION("""COMPUTED_VALUE"""),"«Штрих-М: Торговое предприятие 5.2»")</f>
        <v>«Штрих-М: Торговое предприятие 5.2»</v>
      </c>
      <c r="B301" s="4" t="str">
        <f ca="1">IFERROR(__xludf.DUMMYFUNCTION("""COMPUTED_VALUE"""),"ШМОТКИ, БАЗОВЫЙ")</f>
        <v>ШМОТКИ, БАЗОВЫЙ</v>
      </c>
      <c r="C301" s="4" t="str">
        <f ca="1">IFERROR(__xludf.DUMMYFUNCTION("""COMPUTED_VALUE"""),"UP2-RTL15AK-SHMTORG52")</f>
        <v>UP2-RTL15AK-SHMTORG52</v>
      </c>
      <c r="D301" s="4" t="str">
        <f ca="1">IFERROR(__xludf.DUMMYFUNCTION("""COMPUTED_VALUE"""),"Переход на 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"&amp;"/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Переход на 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1" s="4" t="str">
        <f ca="1">IFERROR(__xludf.DUMMYFUNCTION("""COMPUTED_VALUE"""),"Переход на 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</v>
      </c>
      <c r="F301" s="5">
        <f ca="1">IFERROR(__xludf.DUMMYFUNCTION("""COMPUTED_VALUE"""),6075)</f>
        <v>6075</v>
      </c>
    </row>
    <row r="302" spans="1:6" ht="44.25" customHeight="1" x14ac:dyDescent="0.2">
      <c r="A302" s="4" t="str">
        <f ca="1">IFERROR(__xludf.DUMMYFUNCTION("""COMPUTED_VALUE"""),"«Штрих-М: Торговое предприятие 5.2»")</f>
        <v>«Штрих-М: Торговое предприятие 5.2»</v>
      </c>
      <c r="B302" s="4" t="str">
        <f ca="1">IFERROR(__xludf.DUMMYFUNCTION("""COMPUTED_VALUE"""),"ШМОТКИ, РАСШИРЕННЫЙ")</f>
        <v>ШМОТКИ, РАСШИРЕННЫЙ</v>
      </c>
      <c r="C302" s="4" t="str">
        <f ca="1">IFERROR(__xludf.DUMMYFUNCTION("""COMPUTED_VALUE"""),"UP2-RTL15BK-SHMTORG52")</f>
        <v>UP2-RTL15BK-SHMTORG52</v>
      </c>
      <c r="D302" s="4" t="str">
        <f ca="1">IFERROR(__xludf.DUMMYFUNCTION("""COMPUTED_VALUE"""),"Переход на 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ОНЛ"&amp;"АЙН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провер"&amp;"ка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Переход на 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2" s="4" t="str">
        <f ca="1">IFERROR(__xludf.DUMMYFUNCTION("""COMPUTED_VALUE"""),"Переход на 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</v>
      </c>
      <c r="F302" s="5">
        <f ca="1">IFERROR(__xludf.DUMMYFUNCTION("""COMPUTED_VALUE"""),9275)</f>
        <v>9275</v>
      </c>
    </row>
    <row r="303" spans="1:6" ht="44.25" customHeight="1" x14ac:dyDescent="0.2">
      <c r="A303" s="4" t="str">
        <f ca="1">IFERROR(__xludf.DUMMYFUNCTION("""COMPUTED_VALUE"""),"«Штрих-М: Торговое предприятие 5.2»")</f>
        <v>«Штрих-М: Торговое предприятие 5.2»</v>
      </c>
      <c r="B303" s="4" t="str">
        <f ca="1">IFERROR(__xludf.DUMMYFUNCTION("""COMPUTED_VALUE"""),"ШМОТКИ, МЕГАМАРКЕТ")</f>
        <v>ШМОТКИ, МЕГАМАРКЕТ</v>
      </c>
      <c r="C303" s="4" t="str">
        <f ca="1">IFERROR(__xludf.DUMMYFUNCTION("""COMPUTED_VALUE"""),"UP2-RTL15CK-SHMTORG52")</f>
        <v>UP2-RTL15CK-SHMTORG52</v>
      </c>
      <c r="D303" s="4" t="str">
        <f ca="1">IFERROR(__xludf.DUMMYFUNCTION("""COMPUTED_VALUE"""),"Переход на 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Переход на 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3" s="4" t="str">
        <f ca="1">IFERROR(__xludf.DUMMYFUNCTION("""COMPUTED_VALUE"""),"Переход на 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</v>
      </c>
      <c r="F303" s="5">
        <f ca="1">IFERROR(__xludf.DUMMYFUNCTION("""COMPUTED_VALUE"""),13175)</f>
        <v>13175</v>
      </c>
    </row>
    <row r="304" spans="1:6" ht="44.25" customHeight="1" x14ac:dyDescent="0.2">
      <c r="A304" s="4" t="str">
        <f ca="1">IFERROR(__xludf.DUMMYFUNCTION("""COMPUTED_VALUE"""),"«Штрих-М: Торговое предприятие 5.2»")</f>
        <v>«Штрих-М: Торговое предприятие 5.2»</v>
      </c>
      <c r="B304" s="4" t="str">
        <f ca="1">IFERROR(__xludf.DUMMYFUNCTION("""COMPUTED_VALUE"""),"ПРОДУКТОВЫЙ, БАЗОВЫЙ")</f>
        <v>ПРОДУКТОВЫЙ, БАЗОВЫЙ</v>
      </c>
      <c r="C304" s="4" t="str">
        <f ca="1">IFERROR(__xludf.DUMMYFUNCTION("""COMPUTED_VALUE"""),"UP2-RTL15AG-SHMTORG52")</f>
        <v>UP2-RTL15AG-SHMTORG52</v>
      </c>
      <c r="D304" s="4" t="str">
        <f ca="1">IFERROR(__xludf.DUMMYFUNCTION("""COMPUTED_VALUE"""),"Переход на 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беспроводно"&amp;"й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по"&amp;"дбор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4" s="4" t="str">
        <f ca="1">IFERROR(__xludf.DUMMYFUNCTION("""COMPUTED_VALUE"""),"Переход на 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</v>
      </c>
      <c r="F304" s="5">
        <f ca="1">IFERROR(__xludf.DUMMYFUNCTION("""COMPUTED_VALUE"""),7275)</f>
        <v>7275</v>
      </c>
    </row>
    <row r="305" spans="1:6" ht="44.25" customHeight="1" x14ac:dyDescent="0.2">
      <c r="A305" s="4" t="str">
        <f ca="1">IFERROR(__xludf.DUMMYFUNCTION("""COMPUTED_VALUE"""),"«Штрих-М: Торговое предприятие 5.2»")</f>
        <v>«Штрих-М: Торговое предприятие 5.2»</v>
      </c>
      <c r="B305" s="4" t="str">
        <f ca="1">IFERROR(__xludf.DUMMYFUNCTION("""COMPUTED_VALUE"""),"ПРОДУКТОВЫЙ, РАСШИРЕННЫЙ")</f>
        <v>ПРОДУКТОВЫЙ, РАСШИРЕННЫЙ</v>
      </c>
      <c r="C305" s="4" t="str">
        <f ca="1">IFERROR(__xludf.DUMMYFUNCTION("""COMPUTED_VALUE"""),"UP2-RTL15BG-SHMTORG52")</f>
        <v>UP2-RTL15BG-SHMTORG52</v>
      </c>
      <c r="D305" s="4" t="str">
        <f ca="1">IFERROR(__xludf.DUMMYFUNCTION("""COMPUTED_VALUE"""),"Переход на 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беспров"&amp;"одной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возврат"&amp;",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5" s="4" t="str">
        <f ca="1">IFERROR(__xludf.DUMMYFUNCTION("""COMPUTED_VALUE"""),"Переход на 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</v>
      </c>
      <c r="F305" s="5">
        <f ca="1">IFERROR(__xludf.DUMMYFUNCTION("""COMPUTED_VALUE"""),10475)</f>
        <v>10475</v>
      </c>
    </row>
    <row r="306" spans="1:6" ht="44.25" customHeight="1" x14ac:dyDescent="0.2">
      <c r="A306" s="4" t="str">
        <f ca="1">IFERROR(__xludf.DUMMYFUNCTION("""COMPUTED_VALUE"""),"«Штрих-М: Торговое предприятие 5.2»")</f>
        <v>«Штрих-М: Торговое предприятие 5.2»</v>
      </c>
      <c r="B306" s="4" t="str">
        <f ca="1">IFERROR(__xludf.DUMMYFUNCTION("""COMPUTED_VALUE"""),"ПРОДУКТОВЫЙ, МЕГАМАРКЕТ")</f>
        <v>ПРОДУКТОВЫЙ, МЕГАМАРКЕТ</v>
      </c>
      <c r="C306" s="4" t="str">
        <f ca="1">IFERROR(__xludf.DUMMYFUNCTION("""COMPUTED_VALUE"""),"UP2-RTL15CG-SHMTORG52")</f>
        <v>UP2-RTL15CG-SHMTORG52</v>
      </c>
      <c r="D306" s="4" t="str">
        <f ca="1">IFERROR(__xludf.DUMMYFUNCTION("""COMPUTED_VALUE"""),"Переход на 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беспрово"&amp;"дной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возврат,"&amp;"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6" s="4" t="str">
        <f ca="1">IFERROR(__xludf.DUMMYFUNCTION("""COMPUTED_VALUE"""),"Переход на 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</v>
      </c>
      <c r="F306" s="5">
        <f ca="1">IFERROR(__xludf.DUMMYFUNCTION("""COMPUTED_VALUE"""),14125)</f>
        <v>14125</v>
      </c>
    </row>
    <row r="307" spans="1:6" ht="44.25" customHeight="1" x14ac:dyDescent="0.2">
      <c r="A307" s="4" t="str">
        <f ca="1">IFERROR(__xludf.DUMMYFUNCTION("""COMPUTED_VALUE"""),"«Штрих-М: Продуктовый магазин 5.2»")</f>
        <v>«Штрих-М: Продуктовый магазин 5.2»</v>
      </c>
      <c r="B307" s="4" t="str">
        <f ca="1">IFERROR(__xludf.DUMMYFUNCTION("""COMPUTED_VALUE"""),"МИНИМУМ")</f>
        <v>МИНИМУМ</v>
      </c>
      <c r="C307" s="4" t="str">
        <f ca="1">IFERROR(__xludf.DUMMYFUNCTION("""COMPUTED_VALUE"""),"UP2-RTL15M-SHMGSTORE52")</f>
        <v>UP2-RTL15M-SHMGSTORE52</v>
      </c>
      <c r="D307" s="4" t="str">
        <f ca="1">IFERROR(__xludf.DUMMYFUNCTION("""COMPUTED_VALUE"""),"Переход на Mobile SMARTS: Магазин 15, МИНИМУМ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просм"&amp;"отр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Интерне"&amp;"т на 1 (один) год")</f>
        <v>Переход на Mobile SMARTS: Магазин 15, МИНИМУМ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07" s="4" t="str">
        <f ca="1">IFERROR(__xludf.DUMMYFUNCTION("""COMPUTED_VALUE"""),"Переход на Mobile SMARTS: Магазин 15, МИНИМУМ для «Штрих-М: Продуктовый магазин 5.2», для работы с товаром по штрихкодам ")</f>
        <v xml:space="preserve">Переход на Mobile SMARTS: Магазин 15, МИНИМУМ для «Штрих-М: Продуктовый магазин 5.2», для работы с товаром по штрихкодам </v>
      </c>
      <c r="F307" s="5">
        <f ca="1">IFERROR(__xludf.DUMMYFUNCTION("""COMPUTED_VALUE"""),1725)</f>
        <v>1725</v>
      </c>
    </row>
    <row r="308" spans="1:6" ht="44.25" customHeight="1" x14ac:dyDescent="0.2">
      <c r="A308" s="4" t="str">
        <f ca="1">IFERROR(__xludf.DUMMYFUNCTION("""COMPUTED_VALUE"""),"«Штрих-М: Продуктовый магазин 5.2»")</f>
        <v>«Штрих-М: Продуктовый магазин 5.2»</v>
      </c>
      <c r="B308" s="4" t="str">
        <f ca="1">IFERROR(__xludf.DUMMYFUNCTION("""COMPUTED_VALUE"""),"БАЗОВЫЙ")</f>
        <v>БАЗОВЫЙ</v>
      </c>
      <c r="C308" s="4" t="str">
        <f ca="1">IFERROR(__xludf.DUMMYFUNCTION("""COMPUTED_VALUE"""),"UP2-RTL15A-SHMGSTORE52")</f>
        <v>UP2-RTL15A-SHMGSTORE52</v>
      </c>
      <c r="D308" s="4" t="str">
        <f ca="1">IFERROR(__xludf.DUMMYFUNCTION("""COMPUTED_VALUE"""),"Переход на Mobile SMARTS: Магазин 15, БАЗОВЫЙ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изменени"&amp;"е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8" s="4" t="str">
        <f ca="1">IFERROR(__xludf.DUMMYFUNCTION("""COMPUTED_VALUE"""),"Переход на Mobile SMARTS: Магазин 15, БАЗОВЫЙ для «Штрих-М: Продуктовый магазин 5.2», для работы с товаром по штрихкодам ")</f>
        <v xml:space="preserve">Переход на Mobile SMARTS: Магазин 15, БАЗОВЫЙ для «Штрих-М: Продуктовый магазин 5.2», для работы с товаром по штрихкодам </v>
      </c>
      <c r="F308" s="5">
        <f ca="1">IFERROR(__xludf.DUMMYFUNCTION("""COMPUTED_VALUE"""),4325)</f>
        <v>4325</v>
      </c>
    </row>
    <row r="309" spans="1:6" ht="44.25" customHeight="1" x14ac:dyDescent="0.2">
      <c r="A309" s="4" t="str">
        <f ca="1">IFERROR(__xludf.DUMMYFUNCTION("""COMPUTED_VALUE"""),"«Штрих-М: Продуктовый магазин 5.2»")</f>
        <v>«Штрих-М: Продуктовый магазин 5.2»</v>
      </c>
      <c r="B309" s="4" t="str">
        <f ca="1">IFERROR(__xludf.DUMMYFUNCTION("""COMPUTED_VALUE"""),"РАСШИРЕННЫЙ")</f>
        <v>РАСШИРЕННЫЙ</v>
      </c>
      <c r="C309" s="4" t="str">
        <f ca="1">IFERROR(__xludf.DUMMYFUNCTION("""COMPUTED_VALUE"""),"UP2-RTL15B-SHMGSTORE52")</f>
        <v>UP2-RTL15B-SHMGSTORE52</v>
      </c>
      <c r="D309" s="4" t="str">
        <f ca="1">IFERROR(__xludf.DUMMYFUNCTION("""COMPUTED_VALUE"""),"Переход на Mobile SMARTS: Магазин 15, РАСШИРЕННЫЙ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9" s="4" t="str">
        <f ca="1">IFERROR(__xludf.DUMMYFUNCTION("""COMPUTED_VALUE"""),"Переход на Mobile SMARTS: Магазин 15, РАСШИРЕННЫЙ для «Штрих-М: Продуктовый магазин 5.2», для работы с товаром по штрихкодам ")</f>
        <v xml:space="preserve">Переход на Mobile SMARTS: Магазин 15, РАСШИРЕННЫЙ для «Штрих-М: Продуктовый магазин 5.2», для работы с товаром по штрихкодам </v>
      </c>
      <c r="F309" s="5">
        <f ca="1">IFERROR(__xludf.DUMMYFUNCTION("""COMPUTED_VALUE"""),7525)</f>
        <v>7525</v>
      </c>
    </row>
    <row r="310" spans="1:6" ht="44.25" customHeight="1" x14ac:dyDescent="0.2">
      <c r="A310" s="4" t="str">
        <f ca="1">IFERROR(__xludf.DUMMYFUNCTION("""COMPUTED_VALUE"""),"«Штрих-М: Продуктовый магазин 5.2»")</f>
        <v>«Штрих-М: Продуктовый магазин 5.2»</v>
      </c>
      <c r="B310" s="4" t="str">
        <f ca="1">IFERROR(__xludf.DUMMYFUNCTION("""COMPUTED_VALUE"""),"МЕГАМАРКЕТ")</f>
        <v>МЕГАМАРКЕТ</v>
      </c>
      <c r="C310" s="4" t="str">
        <f ca="1">IFERROR(__xludf.DUMMYFUNCTION("""COMPUTED_VALUE"""),"UP2-RTL15C-SHMGSTORE52")</f>
        <v>UP2-RTL15C-SHMGSTORE52</v>
      </c>
      <c r="D310" s="4" t="str">
        <f ca="1">IFERROR(__xludf.DUMMYFUNCTION("""COMPUTED_VALUE"""),"Переход на Mobile SMARTS: Магазин 15, МЕГАМАРКЕТ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0" s="4" t="str">
        <f ca="1">IFERROR(__xludf.DUMMYFUNCTION("""COMPUTED_VALUE"""),"Переход на Mobile SMARTS: Магазин 15, МЕГАМАРКЕТ для «Штрих-М: Продуктовый магазин 5.2», для работы с товаром по штрихкодам ")</f>
        <v xml:space="preserve">Переход на Mobile SMARTS: Магазин 15, МЕГАМАРКЕТ для «Штрих-М: Продуктовый магазин 5.2», для работы с товаром по штрихкодам </v>
      </c>
      <c r="F310" s="5">
        <f ca="1">IFERROR(__xludf.DUMMYFUNCTION("""COMPUTED_VALUE"""),10775)</f>
        <v>10775</v>
      </c>
    </row>
    <row r="311" spans="1:6" ht="44.25" customHeight="1" x14ac:dyDescent="0.2">
      <c r="A311" s="4" t="str">
        <f ca="1">IFERROR(__xludf.DUMMYFUNCTION("""COMPUTED_VALUE"""),"«Штрих-М: Продуктовый магазин 5.2»")</f>
        <v>«Штрих-М: Продуктовый магазин 5.2»</v>
      </c>
      <c r="B311" s="4" t="str">
        <f ca="1">IFERROR(__xludf.DUMMYFUNCTION("""COMPUTED_VALUE"""),"с ЕГАИС, БАЗОВЫЙ")</f>
        <v>с ЕГАИС, БАЗОВЫЙ</v>
      </c>
      <c r="C311" s="4" t="str">
        <f ca="1">IFERROR(__xludf.DUMMYFUNCTION("""COMPUTED_VALUE"""),"UP2-RTL15AE-SHMGSTORE52")</f>
        <v>UP2-RTL15AE-SHMGSTORE52</v>
      </c>
      <c r="D311" s="4" t="str">
        <f ca="1">IFERROR(__xludf.DUMMYFUNCTION("""COMPUTED_VALUE"""),"Переход на Mobile SMARTS: Магазин 15 с ЕГАИС, БАЗОВЫЙ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о"&amp;"перации: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принт"&amp;"ер,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11" s="4" t="str">
        <f ca="1">IFERROR(__xludf.DUMMYFUNCTION("""COMPUTED_VALUE"""),"Переход на Mobile SMARTS: Магазин 15 с ЕГАИС, БАЗОВЫЙ для «Штрих-М: Продуктовый магазин 5.2», для работы с маркированным товаром: алкоголь ЕГАИС и товары по штрихкодам ")</f>
        <v xml:space="preserve">Переход на Mobile SMARTS: Магазин 15 с ЕГАИС, БАЗОВЫЙ для «Штрих-М: Продуктовый магазин 5.2», для работы с маркированным товаром: алкоголь ЕГАИС и товары по штрихкодам </v>
      </c>
      <c r="F311" s="5">
        <f ca="1">IFERROR(__xludf.DUMMYFUNCTION("""COMPUTED_VALUE"""),5500)</f>
        <v>5500</v>
      </c>
    </row>
    <row r="312" spans="1:6" ht="44.25" customHeight="1" x14ac:dyDescent="0.2">
      <c r="A312" s="4" t="str">
        <f ca="1">IFERROR(__xludf.DUMMYFUNCTION("""COMPUTED_VALUE"""),"«Штрих-М: Продуктовый магазин 5.2»")</f>
        <v>«Штрих-М: Продуктовый магазин 5.2»</v>
      </c>
      <c r="B312" s="4" t="str">
        <f ca="1">IFERROR(__xludf.DUMMYFUNCTION("""COMPUTED_VALUE"""),"с ЕГАИС, РАСШИРЕННЫЙ")</f>
        <v>с ЕГАИС, РАСШИРЕННЫЙ</v>
      </c>
      <c r="C312" s="4" t="str">
        <f ca="1">IFERROR(__xludf.DUMMYFUNCTION("""COMPUTED_VALUE"""),"UP2-RTL15BE-SHMGSTORE52")</f>
        <v>UP2-RTL15BE-SHMGSTORE52</v>
      </c>
      <c r="D312" s="4" t="str">
        <f ca="1">IFERROR(__xludf.DUMMYFUNCTION("""COMPUTED_VALUE"""),"Переход на Mobile SMARTS: Магазин 15 с ЕГАИС, РАСШИРЕННЫЙ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доступн"&amp;"ые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п"&amp;"ринтер,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(о"&amp;"дин) год")</f>
        <v>Переход на Mobile SMARTS: Магазин 15 с ЕГАИС, РАСШИРЕННЫЙ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2" s="4" t="str">
        <f ca="1">IFERROR(__xludf.DUMMYFUNCTION("""COMPUTED_VALUE"""),"Переход на Mobile SMARTS: Магазин 15 с ЕГАИС, РАСШИРЕННЫЙ для «Штрих-М: Продуктовый магазин 5.2», для работы с маркированным товаром: алкоголь ЕГАИС и товары по штрихкодам ")</f>
        <v xml:space="preserve">Переход на Mobile SMARTS: Магазин 15 с ЕГАИС, РАСШИРЕННЫЙ для «Штрих-М: Продуктовый магазин 5.2», для работы с маркированным товаром: алкоголь ЕГАИС и товары по штрихкодам </v>
      </c>
      <c r="F312" s="5">
        <f ca="1">IFERROR(__xludf.DUMMYFUNCTION("""COMPUTED_VALUE"""),8725)</f>
        <v>8725</v>
      </c>
    </row>
    <row r="313" spans="1:6" ht="44.25" customHeight="1" x14ac:dyDescent="0.2">
      <c r="A313" s="4" t="str">
        <f ca="1">IFERROR(__xludf.DUMMYFUNCTION("""COMPUTED_VALUE"""),"«Штрих-М: Продуктовый магазин 5.2»")</f>
        <v>«Штрих-М: Продуктовый магазин 5.2»</v>
      </c>
      <c r="B313" s="4" t="str">
        <f ca="1">IFERROR(__xludf.DUMMYFUNCTION("""COMPUTED_VALUE"""),"с ЕГАИС (без CheckMark2), МЕГАМАРКЕТ")</f>
        <v>с ЕГАИС (без CheckMark2), МЕГАМАРКЕТ</v>
      </c>
      <c r="C313" s="4" t="str">
        <f ca="1">IFERROR(__xludf.DUMMYFUNCTION("""COMPUTED_VALUE"""),"UP2-RTL15CEV-SHMGSTORE52")</f>
        <v>UP2-RTL15CEV-SHMGSTORE52</v>
      </c>
      <c r="D313" s="4" t="str">
        <f ca="1">IFERROR(__xludf.DUMMYFUNCTION("""COMPUTED_VALUE"""),"Переход на 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"&amp;"ОНЛАЙН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колле"&amp;"ктивная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и обмен через Интернет на 1 (один) год")</f>
        <v>Переход на 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3" s="4" t="str">
        <f ca="1">IFERROR(__xludf.DUMMYFUNCTION("""COMPUTED_VALUE"""),"Переход на 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</v>
      </c>
      <c r="F313" s="5">
        <f ca="1">IFERROR(__xludf.DUMMYFUNCTION("""COMPUTED_VALUE"""),11925)</f>
        <v>11925</v>
      </c>
    </row>
    <row r="314" spans="1:6" ht="44.25" customHeight="1" x14ac:dyDescent="0.2">
      <c r="A314" s="4" t="str">
        <f ca="1">IFERROR(__xludf.DUMMYFUNCTION("""COMPUTED_VALUE"""),"«Штрих-М: Продуктовый магазин 5.2»")</f>
        <v>«Штрих-М: Продуктовый магазин 5.2»</v>
      </c>
      <c r="B314" s="4" t="str">
        <f ca="1">IFERROR(__xludf.DUMMYFUNCTION("""COMPUTED_VALUE"""),"с МОТП, БАЗОВЫЙ")</f>
        <v>с МОТП, БАЗОВЫЙ</v>
      </c>
      <c r="C314" s="4" t="str">
        <f ca="1">IFERROR(__xludf.DUMMYFUNCTION("""COMPUTED_VALUE"""),"UP2-RTL15AT-SHMGSTORE52")</f>
        <v>UP2-RTL15AT-SHMGSTORE52</v>
      </c>
      <c r="D314" s="4" t="str">
        <f ca="1">IFERROR(__xludf.DUMMYFUNCTION("""COMPUTED_VALUE"""),"Переход на Mobile SMARTS: Магазин 15 с МОТП, БАЗОВЫЙ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п"&amp;"оступление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4" s="4" t="str">
        <f ca="1">IFERROR(__xludf.DUMMYFUNCTION("""COMPUTED_VALUE"""),"Переход на Mobile SMARTS: Магазин 15 с МОТП, БАЗОВЫЙ для «Штрих-М: Продуктовый магазин 5.2», для работы с маркированным товаром: ТАБАК и товары по штрихкодам ")</f>
        <v xml:space="preserve">Переход на Mobile SMARTS: Магазин 15 с МОТП, БАЗОВЫЙ для «Штрих-М: Продуктовый магазин 5.2», для работы с маркированным товаром: ТАБАК и товары по штрихкодам </v>
      </c>
      <c r="F314" s="5">
        <f ca="1">IFERROR(__xludf.DUMMYFUNCTION("""COMPUTED_VALUE"""),5575)</f>
        <v>5575</v>
      </c>
    </row>
    <row r="315" spans="1:6" ht="44.25" customHeight="1" x14ac:dyDescent="0.2">
      <c r="A315" s="4" t="str">
        <f ca="1">IFERROR(__xludf.DUMMYFUNCTION("""COMPUTED_VALUE"""),"«Штрих-М: Продуктовый магазин 5.2»")</f>
        <v>«Штрих-М: Продуктовый магазин 5.2»</v>
      </c>
      <c r="B315" s="4" t="str">
        <f ca="1">IFERROR(__xludf.DUMMYFUNCTION("""COMPUTED_VALUE"""),"с МОТП, РАСШИРЕННЫЙ")</f>
        <v>с МОТП, РАСШИРЕННЫЙ</v>
      </c>
      <c r="C315" s="4" t="str">
        <f ca="1">IFERROR(__xludf.DUMMYFUNCTION("""COMPUTED_VALUE"""),"UP2-RTL15BT-SHMGSTORE52")</f>
        <v>UP2-RTL15BT-SHMGSTORE52</v>
      </c>
      <c r="D315" s="4" t="str">
        <f ca="1">IFERROR(__xludf.DUMMYFUNCTION("""COMPUTED_VALUE"""),"Переход на Mobile SMARTS: Магазин 15 с МОТП, РАСШИРЕННЫЙ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операци"&amp;"и: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Переход на Mobile SMARTS: Магазин 15 с МОТП, РАСШИРЕННЫЙ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5" s="4" t="str">
        <f ca="1">IFERROR(__xludf.DUMMYFUNCTION("""COMPUTED_VALUE"""),"Переход на Mobile SMARTS: Магазин 15 с МОТП, РАСШИРЕННЫЙ для «Штрих-М: Продуктовый магазин 5.2», для работы с маркированным товаром: ТАБАК и товары по штрихкодам ")</f>
        <v xml:space="preserve">Переход на Mobile SMARTS: Магазин 15 с МОТП, РАСШИРЕННЫЙ для «Штрих-М: Продуктовый магазин 5.2», для работы с маркированным товаром: ТАБАК и товары по штрихкодам </v>
      </c>
      <c r="F315" s="5">
        <f ca="1">IFERROR(__xludf.DUMMYFUNCTION("""COMPUTED_VALUE"""),8725)</f>
        <v>8725</v>
      </c>
    </row>
    <row r="316" spans="1:6" ht="44.25" customHeight="1" x14ac:dyDescent="0.2">
      <c r="A316" s="4" t="str">
        <f ca="1">IFERROR(__xludf.DUMMYFUNCTION("""COMPUTED_VALUE"""),"«Штрих-М: Продуктовый магазин 5.2»")</f>
        <v>«Штрих-М: Продуктовый магазин 5.2»</v>
      </c>
      <c r="B316" s="4" t="str">
        <f ca="1">IFERROR(__xludf.DUMMYFUNCTION("""COMPUTED_VALUE"""),"с МОТП, МЕГАМАРКЕТ")</f>
        <v>с МОТП, МЕГАМАРКЕТ</v>
      </c>
      <c r="C316" s="4" t="str">
        <f ca="1">IFERROR(__xludf.DUMMYFUNCTION("""COMPUTED_VALUE"""),"UP2-RTL15CT-SHMGSTORE52")</f>
        <v>UP2-RTL15CT-SHMGSTORE52</v>
      </c>
      <c r="D316" s="4" t="str">
        <f ca="1">IFERROR(__xludf.DUMMYFUNCTION("""COMPUTED_VALUE"""),"Переход на Mobile SMARTS: Магазин 15 с МОТП, МЕГАМАРКЕТ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операции"&amp;":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возможност"&amp;"и: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"&amp;"Интернет на 1 (один) год")</f>
        <v>Переход на Mobile SMARTS: Магазин 15 с МОТП, МЕГАМАРКЕТ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6" s="4" t="str">
        <f ca="1">IFERROR(__xludf.DUMMYFUNCTION("""COMPUTED_VALUE"""),"Переход на Mobile SMARTS: Магазин 15 с МОТП, МЕГАМАРКЕТ для «Штрих-М: Продуктовый магазин 5.2», для работы с маркированным товаром: ТАБАК и товары по штрихкодам ")</f>
        <v xml:space="preserve">Переход на Mobile SMARTS: Магазин 15 с МОТП, МЕГАМАРКЕТ для «Штрих-М: Продуктовый магазин 5.2», для работы с маркированным товаром: ТАБАК и товары по штрихкодам </v>
      </c>
      <c r="F316" s="5">
        <f ca="1">IFERROR(__xludf.DUMMYFUNCTION("""COMPUTED_VALUE"""),11925)</f>
        <v>11925</v>
      </c>
    </row>
    <row r="317" spans="1:6" ht="44.25" customHeight="1" x14ac:dyDescent="0.2">
      <c r="A317" s="4" t="str">
        <f ca="1">IFERROR(__xludf.DUMMYFUNCTION("""COMPUTED_VALUE"""),"«Штрих-М: Продуктовый магазин 5.2»")</f>
        <v>«Штрих-М: Продуктовый магазин 5.2»</v>
      </c>
      <c r="B317" s="4" t="str">
        <f ca="1">IFERROR(__xludf.DUMMYFUNCTION("""COMPUTED_VALUE"""),"с ЕГАИС и МОТП, БАЗОВЫЙ")</f>
        <v>с ЕГАИС и МОТП, БАЗОВЫЙ</v>
      </c>
      <c r="C317" s="4" t="str">
        <f ca="1">IFERROR(__xludf.DUMMYFUNCTION("""COMPUTED_VALUE"""),"UP2-RTL15AET-SHMGSTORE52")</f>
        <v>UP2-RTL15AET-SHMGSTORE52</v>
      </c>
      <c r="D317" s="4" t="str">
        <f ca="1">IFERROR(__xludf.DUMMYFUNCTION("""COMPUTED_VALUE"""),"Переход на 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дос"&amp;"тупные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перемещен"&amp;"ие,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"&amp;"операций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7" s="4" t="str">
        <f ca="1">IFERROR(__xludf.DUMMYFUNCTION("""COMPUTED_VALUE"""),"Переход на 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</v>
      </c>
      <c r="F317" s="5">
        <f ca="1">IFERROR(__xludf.DUMMYFUNCTION("""COMPUTED_VALUE"""),6075)</f>
        <v>6075</v>
      </c>
    </row>
    <row r="318" spans="1:6" ht="44.25" customHeight="1" x14ac:dyDescent="0.2">
      <c r="A318" s="4" t="str">
        <f ca="1">IFERROR(__xludf.DUMMYFUNCTION("""COMPUTED_VALUE"""),"«Штрих-М: Продуктовый магазин 5.2»")</f>
        <v>«Штрих-М: Продуктовый магазин 5.2»</v>
      </c>
      <c r="B318" s="4" t="str">
        <f ca="1">IFERROR(__xludf.DUMMYFUNCTION("""COMPUTED_VALUE"""),"с ЕГАИС и МОТП, РАСШИРЕННЫЙ")</f>
        <v>с ЕГАИС и МОТП, РАСШИРЕННЫЙ</v>
      </c>
      <c r="C318" s="4" t="str">
        <f ca="1">IFERROR(__xludf.DUMMYFUNCTION("""COMPUTED_VALUE"""),"UP2-RTL15BET-SHMGSTORE52")</f>
        <v>UP2-RTL15BET-SHMGSTORE52</v>
      </c>
      <c r="D318" s="4" t="str">
        <f ca="1">IFERROR(__xludf.DUMMYFUNCTION("""COMPUTED_VALUE"""),"Переход на 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8" s="4" t="str">
        <f ca="1">IFERROR(__xludf.DUMMYFUNCTION("""COMPUTED_VALUE"""),"Переход на 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</v>
      </c>
      <c r="F318" s="5">
        <f ca="1">IFERROR(__xludf.DUMMYFUNCTION("""COMPUTED_VALUE"""),9275)</f>
        <v>9275</v>
      </c>
    </row>
    <row r="319" spans="1:6" ht="44.25" customHeight="1" x14ac:dyDescent="0.2">
      <c r="A319" s="4" t="str">
        <f ca="1">IFERROR(__xludf.DUMMYFUNCTION("""COMPUTED_VALUE"""),"«Штрих-М: Продуктовый магазин 5.2»")</f>
        <v>«Штрих-М: Продуктовый магазин 5.2»</v>
      </c>
      <c r="B319" s="4" t="str">
        <f ca="1">IFERROR(__xludf.DUMMYFUNCTION("""COMPUTED_VALUE"""),"с ЕГАИС и МОТП, МЕГАМАРКЕТ")</f>
        <v>с ЕГАИС и МОТП, МЕГАМАРКЕТ</v>
      </c>
      <c r="C319" s="4" t="str">
        <f ca="1">IFERROR(__xludf.DUMMYFUNCTION("""COMPUTED_VALUE"""),"UP2-RTL15CET-SHMGSTORE52")</f>
        <v>UP2-RTL15CET-SHMGSTORE52</v>
      </c>
      <c r="D319" s="4" t="str">
        <f ca="1">IFERROR(__xludf.DUMMYFUNCTION("""COMPUTED_VALUE"""),"Переход на 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"&amp;"доступные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переме"&amp;"щение,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9" s="4" t="str">
        <f ca="1">IFERROR(__xludf.DUMMYFUNCTION("""COMPUTED_VALUE"""),"Переход на 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</v>
      </c>
      <c r="F319" s="5">
        <f ca="1">IFERROR(__xludf.DUMMYFUNCTION("""COMPUTED_VALUE"""),13175)</f>
        <v>13175</v>
      </c>
    </row>
    <row r="320" spans="1:6" ht="44.25" customHeight="1" x14ac:dyDescent="0.2">
      <c r="A320" s="4" t="str">
        <f ca="1">IFERROR(__xludf.DUMMYFUNCTION("""COMPUTED_VALUE"""),"«Штрих-М: Продуктовый магазин 5.2»")</f>
        <v>«Штрих-М: Продуктовый магазин 5.2»</v>
      </c>
      <c r="B320" s="4" t="str">
        <f ca="1">IFERROR(__xludf.DUMMYFUNCTION("""COMPUTED_VALUE"""),"ШМОТКИ, БАЗОВЫЙ")</f>
        <v>ШМОТКИ, БАЗОВЫЙ</v>
      </c>
      <c r="C320" s="4" t="str">
        <f ca="1">IFERROR(__xludf.DUMMYFUNCTION("""COMPUTED_VALUE"""),"UP2-RTL15AK-SHMGSTORE52")</f>
        <v>UP2-RTL15AK-SHMGSTORE52</v>
      </c>
      <c r="D320" s="4" t="str">
        <f ca="1">IFERROR(__xludf.DUMMYFUNCTION("""COMPUTED_VALUE"""),"Переход на 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Ин"&amp;"тернет на 1 (один) год")</f>
        <v>Переход на 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0" s="4" t="str">
        <f ca="1">IFERROR(__xludf.DUMMYFUNCTION("""COMPUTED_VALUE"""),"Переход на 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</v>
      </c>
      <c r="F320" s="5">
        <f ca="1">IFERROR(__xludf.DUMMYFUNCTION("""COMPUTED_VALUE"""),6075)</f>
        <v>6075</v>
      </c>
    </row>
    <row r="321" spans="1:6" ht="44.25" customHeight="1" x14ac:dyDescent="0.2">
      <c r="A321" s="4" t="str">
        <f ca="1">IFERROR(__xludf.DUMMYFUNCTION("""COMPUTED_VALUE"""),"«Штрих-М: Продуктовый магазин 5.2»")</f>
        <v>«Штрих-М: Продуктовый магазин 5.2»</v>
      </c>
      <c r="B321" s="4" t="str">
        <f ca="1">IFERROR(__xludf.DUMMYFUNCTION("""COMPUTED_VALUE"""),"ШМОТКИ, РАСШИРЕННЫЙ")</f>
        <v>ШМОТКИ, РАСШИРЕННЫЙ</v>
      </c>
      <c r="C321" s="4" t="str">
        <f ca="1">IFERROR(__xludf.DUMMYFUNCTION("""COMPUTED_VALUE"""),"UP2-RTL15BK-SHMGSTORE52")</f>
        <v>UP2-RTL15BK-SHMGSTORE52</v>
      </c>
      <c r="D321" s="4" t="str">
        <f ca="1">IFERROR(__xludf.DUMMYFUNCTION("""COMPUTED_VALUE"""),"Переход на 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Переход на 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1" s="4" t="str">
        <f ca="1">IFERROR(__xludf.DUMMYFUNCTION("""COMPUTED_VALUE"""),"Переход на 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</v>
      </c>
      <c r="F321" s="5">
        <f ca="1">IFERROR(__xludf.DUMMYFUNCTION("""COMPUTED_VALUE"""),9275)</f>
        <v>9275</v>
      </c>
    </row>
    <row r="322" spans="1:6" ht="44.25" customHeight="1" x14ac:dyDescent="0.2">
      <c r="A322" s="4" t="str">
        <f ca="1">IFERROR(__xludf.DUMMYFUNCTION("""COMPUTED_VALUE"""),"«Штрих-М: Продуктовый магазин 5.2»")</f>
        <v>«Штрих-М: Продуктовый магазин 5.2»</v>
      </c>
      <c r="B322" s="4" t="str">
        <f ca="1">IFERROR(__xludf.DUMMYFUNCTION("""COMPUTED_VALUE"""),"ШМОТКИ, МЕГАМАРКЕТ")</f>
        <v>ШМОТКИ, МЕГАМАРКЕТ</v>
      </c>
      <c r="C322" s="4" t="str">
        <f ca="1">IFERROR(__xludf.DUMMYFUNCTION("""COMPUTED_VALUE"""),"UP2-RTL15CK-SHMGSTORE52")</f>
        <v>UP2-RTL15CK-SHMGSTORE52</v>
      </c>
      <c r="D322" s="4" t="str">
        <f ca="1">IFERROR(__xludf.DUMMYFUNCTION("""COMPUTED_VALUE"""),"Переход на 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Переход на 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2" s="4" t="str">
        <f ca="1">IFERROR(__xludf.DUMMYFUNCTION("""COMPUTED_VALUE"""),"Переход на 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</v>
      </c>
      <c r="F322" s="5">
        <f ca="1">IFERROR(__xludf.DUMMYFUNCTION("""COMPUTED_VALUE"""),13175)</f>
        <v>13175</v>
      </c>
    </row>
    <row r="323" spans="1:6" ht="44.25" customHeight="1" x14ac:dyDescent="0.2">
      <c r="A323" s="4" t="str">
        <f ca="1">IFERROR(__xludf.DUMMYFUNCTION("""COMPUTED_VALUE"""),"«Штрих-М: Продуктовый магазин 5.2»")</f>
        <v>«Штрих-М: Продуктовый магазин 5.2»</v>
      </c>
      <c r="B323" s="4" t="str">
        <f ca="1">IFERROR(__xludf.DUMMYFUNCTION("""COMPUTED_VALUE"""),"ПРОДУКТОВЫЙ, БАЗОВЫЙ")</f>
        <v>ПРОДУКТОВЫЙ, БАЗОВЫЙ</v>
      </c>
      <c r="C323" s="4" t="str">
        <f ca="1">IFERROR(__xludf.DUMMYFUNCTION("""COMPUTED_VALUE"""),"UP2-RTL15AG-SHMGSTORE52")</f>
        <v>UP2-RTL15AG-SHMGSTORE52</v>
      </c>
      <c r="D323" s="4" t="str">
        <f ca="1">IFERROR(__xludf.DUMMYFUNCTION("""COMPUTED_VALUE"""),"Переход на 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беспроводной"&amp;"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под"&amp;"бор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остатка"&amp;"х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3" s="4" t="str">
        <f ca="1">IFERROR(__xludf.DUMMYFUNCTION("""COMPUTED_VALUE"""),"Переход на 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</v>
      </c>
      <c r="F323" s="5">
        <f ca="1">IFERROR(__xludf.DUMMYFUNCTION("""COMPUTED_VALUE"""),7275)</f>
        <v>7275</v>
      </c>
    </row>
    <row r="324" spans="1:6" ht="44.25" customHeight="1" x14ac:dyDescent="0.2">
      <c r="A324" s="4" t="str">
        <f ca="1">IFERROR(__xludf.DUMMYFUNCTION("""COMPUTED_VALUE"""),"«Штрих-М: Продуктовый магазин 5.2»")</f>
        <v>«Штрих-М: Продуктовый магазин 5.2»</v>
      </c>
      <c r="B324" s="4" t="str">
        <f ca="1">IFERROR(__xludf.DUMMYFUNCTION("""COMPUTED_VALUE"""),"ПРОДУКТОВЫЙ, РАСШИРЕННЫЙ")</f>
        <v>ПРОДУКТОВЫЙ, РАСШИРЕННЫЙ</v>
      </c>
      <c r="C324" s="4" t="str">
        <f ca="1">IFERROR(__xludf.DUMMYFUNCTION("""COMPUTED_VALUE"""),"UP2-RTL15BG-SHMGSTORE52")</f>
        <v>UP2-RTL15BG-SHMGSTORE52</v>
      </c>
      <c r="D324" s="4" t="str">
        <f ca="1">IFERROR(__xludf.DUMMYFUNCTION("""COMPUTED_VALUE"""),"Переход на 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беспрово"&amp;"дной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возврат,"&amp;"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ост"&amp;"атках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4" s="4" t="str">
        <f ca="1">IFERROR(__xludf.DUMMYFUNCTION("""COMPUTED_VALUE"""),"Переход на 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</v>
      </c>
      <c r="F324" s="5">
        <f ca="1">IFERROR(__xludf.DUMMYFUNCTION("""COMPUTED_VALUE"""),10475)</f>
        <v>10475</v>
      </c>
    </row>
    <row r="325" spans="1:6" ht="44.25" customHeight="1" x14ac:dyDescent="0.2">
      <c r="A325" s="4" t="str">
        <f ca="1">IFERROR(__xludf.DUMMYFUNCTION("""COMPUTED_VALUE"""),"«Штрих-М: Продуктовый магазин 5.2»")</f>
        <v>«Штрих-М: Продуктовый магазин 5.2»</v>
      </c>
      <c r="B325" s="4" t="str">
        <f ca="1">IFERROR(__xludf.DUMMYFUNCTION("""COMPUTED_VALUE"""),"ПРОДУКТОВЫЙ, МЕГАМАРКЕТ")</f>
        <v>ПРОДУКТОВЫЙ, МЕГАМАРКЕТ</v>
      </c>
      <c r="C325" s="4" t="str">
        <f ca="1">IFERROR(__xludf.DUMMYFUNCTION("""COMPUTED_VALUE"""),"UP2-RTL15CG-SHMGSTORE52")</f>
        <v>UP2-RTL15CG-SHMGSTORE52</v>
      </c>
      <c r="D325" s="4" t="str">
        <f ca="1">IFERROR(__xludf.DUMMYFUNCTION("""COMPUTED_VALUE"""),"Переход на 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беспровод"&amp;"ной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"&amp;"подбор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склада"&amp;"х,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5" s="4" t="str">
        <f ca="1">IFERROR(__xludf.DUMMYFUNCTION("""COMPUTED_VALUE"""),"Переход на 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</v>
      </c>
      <c r="F325" s="5">
        <f ca="1">IFERROR(__xludf.DUMMYFUNCTION("""COMPUTED_VALUE"""),14125)</f>
        <v>14125</v>
      </c>
    </row>
    <row r="326" spans="1:6" ht="44.25" customHeight="1" x14ac:dyDescent="0.2">
      <c r="A326" s="4" t="str">
        <f ca="1">IFERROR(__xludf.DUMMYFUNCTION("""COMPUTED_VALUE"""),"«Штрих-М: Торговое предприятие 7.0»")</f>
        <v>«Штрих-М: Торговое предприятие 7.0»</v>
      </c>
      <c r="B326" s="4" t="str">
        <f ca="1">IFERROR(__xludf.DUMMYFUNCTION("""COMPUTED_VALUE"""),"МИНИМУМ")</f>
        <v>МИНИМУМ</v>
      </c>
      <c r="C326" s="4" t="str">
        <f ca="1">IFERROR(__xludf.DUMMYFUNCTION("""COMPUTED_VALUE"""),"UP2-RTL15M-SHMTORG70")</f>
        <v>UP2-RTL15M-SHMTORG70</v>
      </c>
      <c r="D326" s="4" t="str">
        <f ca="1">IFERROR(__xludf.DUMMYFUNCTION("""COMPUTED_VALUE"""),"Переход на Mobile SMARTS: Магазин 15, МИНИМУМ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прос"&amp;"мотр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Переход на Mobile SMARTS: Магазин 15, МИНИМУМ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26" s="4" t="str">
        <f ca="1">IFERROR(__xludf.DUMMYFUNCTION("""COMPUTED_VALUE"""),"Переход на Mobile SMARTS: Магазин 15, МИНИМУМ для «Штрих-М: Торговое предприятие 7.0», для работы с товаром по штрихкодам ")</f>
        <v xml:space="preserve">Переход на Mobile SMARTS: Магазин 15, МИНИМУМ для «Штрих-М: Торговое предприятие 7.0», для работы с товаром по штрихкодам </v>
      </c>
      <c r="F326" s="5">
        <f ca="1">IFERROR(__xludf.DUMMYFUNCTION("""COMPUTED_VALUE"""),1725)</f>
        <v>1725</v>
      </c>
    </row>
    <row r="327" spans="1:6" ht="44.25" customHeight="1" x14ac:dyDescent="0.2">
      <c r="A327" s="4" t="str">
        <f ca="1">IFERROR(__xludf.DUMMYFUNCTION("""COMPUTED_VALUE"""),"«Штрих-М: Торговое предприятие 7.0»")</f>
        <v>«Штрих-М: Торговое предприятие 7.0»</v>
      </c>
      <c r="B327" s="4" t="str">
        <f ca="1">IFERROR(__xludf.DUMMYFUNCTION("""COMPUTED_VALUE"""),"БАЗОВЫЙ")</f>
        <v>БАЗОВЫЙ</v>
      </c>
      <c r="C327" s="4" t="str">
        <f ca="1">IFERROR(__xludf.DUMMYFUNCTION("""COMPUTED_VALUE"""),"UP2-RTL15A-SHMTORG70")</f>
        <v>UP2-RTL15A-SHMTORG70</v>
      </c>
      <c r="D327" s="4" t="str">
        <f ca="1">IFERROR(__xludf.DUMMYFUNCTION("""COMPUTED_VALUE"""),"Переход на Mobile SMARTS: Магазин 15, БАЗОВЫЙ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переоцен"&amp;"ка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7" s="4" t="str">
        <f ca="1">IFERROR(__xludf.DUMMYFUNCTION("""COMPUTED_VALUE"""),"Переход на Mobile SMARTS: Магазин 15, БАЗОВЫЙ для «Штрих-М: Торговое предприятие 7.0», для работы с товаром по штрихкодам ")</f>
        <v xml:space="preserve">Переход на Mobile SMARTS: Магазин 15, БАЗОВЫЙ для «Штрих-М: Торговое предприятие 7.0», для работы с товаром по штрихкодам </v>
      </c>
      <c r="F327" s="5">
        <f ca="1">IFERROR(__xludf.DUMMYFUNCTION("""COMPUTED_VALUE"""),4325)</f>
        <v>4325</v>
      </c>
    </row>
    <row r="328" spans="1:6" ht="44.25" customHeight="1" x14ac:dyDescent="0.2">
      <c r="A328" s="4" t="str">
        <f ca="1">IFERROR(__xludf.DUMMYFUNCTION("""COMPUTED_VALUE"""),"«Штрих-М: Торговое предприятие 7.0»")</f>
        <v>«Штрих-М: Торговое предприятие 7.0»</v>
      </c>
      <c r="B328" s="4" t="str">
        <f ca="1">IFERROR(__xludf.DUMMYFUNCTION("""COMPUTED_VALUE"""),"РАСШИРЕННЫЙ")</f>
        <v>РАСШИРЕННЫЙ</v>
      </c>
      <c r="C328" s="4" t="str">
        <f ca="1">IFERROR(__xludf.DUMMYFUNCTION("""COMPUTED_VALUE"""),"UP2-RTL15B-SHMTORG70")</f>
        <v>UP2-RTL15B-SHMTORG70</v>
      </c>
      <c r="D328" s="4" t="str">
        <f ca="1">IFERROR(__xludf.DUMMYFUNCTION("""COMPUTED_VALUE"""),"Переход на Mobile SMARTS: Магазин 15, РАСШИРЕННЫЙ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8" s="4" t="str">
        <f ca="1">IFERROR(__xludf.DUMMYFUNCTION("""COMPUTED_VALUE"""),"Переход на Mobile SMARTS: Магазин 15, РАСШИРЕННЫЙ для «Штрих-М: Торговое предприятие 7.0», для работы с товаром по штрихкодам ")</f>
        <v xml:space="preserve">Переход на Mobile SMARTS: Магазин 15, РАСШИРЕННЫЙ для «Штрих-М: Торговое предприятие 7.0», для работы с товаром по штрихкодам </v>
      </c>
      <c r="F328" s="5">
        <f ca="1">IFERROR(__xludf.DUMMYFUNCTION("""COMPUTED_VALUE"""),7525)</f>
        <v>7525</v>
      </c>
    </row>
    <row r="329" spans="1:6" ht="44.25" customHeight="1" x14ac:dyDescent="0.2">
      <c r="A329" s="4" t="str">
        <f ca="1">IFERROR(__xludf.DUMMYFUNCTION("""COMPUTED_VALUE"""),"«Штрих-М: Торговое предприятие 7.0»")</f>
        <v>«Штрих-М: Торговое предприятие 7.0»</v>
      </c>
      <c r="B329" s="4" t="str">
        <f ca="1">IFERROR(__xludf.DUMMYFUNCTION("""COMPUTED_VALUE"""),"МЕГАМАРКЕТ")</f>
        <v>МЕГАМАРКЕТ</v>
      </c>
      <c r="C329" s="4" t="str">
        <f ca="1">IFERROR(__xludf.DUMMYFUNCTION("""COMPUTED_VALUE"""),"UP2-RTL15C-SHMTORG70")</f>
        <v>UP2-RTL15C-SHMTORG70</v>
      </c>
      <c r="D329" s="4" t="str">
        <f ca="1">IFERROR(__xludf.DUMMYFUNCTION("""COMPUTED_VALUE"""),"Переход на Mobile SMARTS: Магазин 15, МЕГАМАРКЕТ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9" s="4" t="str">
        <f ca="1">IFERROR(__xludf.DUMMYFUNCTION("""COMPUTED_VALUE"""),"Переход на Mobile SMARTS: Магазин 15, МЕГАМАРКЕТ для «Штрих-М: Торговое предприятие 7.0», для работы с товаром по штрихкодам ")</f>
        <v xml:space="preserve">Переход на Mobile SMARTS: Магазин 15, МЕГАМАРКЕТ для «Штрих-М: Торговое предприятие 7.0», для работы с товаром по штрихкодам </v>
      </c>
      <c r="F329" s="5">
        <f ca="1">IFERROR(__xludf.DUMMYFUNCTION("""COMPUTED_VALUE"""),10775)</f>
        <v>10775</v>
      </c>
    </row>
    <row r="330" spans="1:6" ht="44.25" customHeight="1" x14ac:dyDescent="0.2">
      <c r="A330" s="4" t="str">
        <f ca="1">IFERROR(__xludf.DUMMYFUNCTION("""COMPUTED_VALUE"""),"«Штрих-М: Торговое предприятие 7.0»")</f>
        <v>«Штрих-М: Торговое предприятие 7.0»</v>
      </c>
      <c r="B330" s="4" t="str">
        <f ca="1">IFERROR(__xludf.DUMMYFUNCTION("""COMPUTED_VALUE"""),"с ЕГАИС, БАЗОВЫЙ")</f>
        <v>с ЕГАИС, БАЗОВЫЙ</v>
      </c>
      <c r="C330" s="4" t="str">
        <f ca="1">IFERROR(__xludf.DUMMYFUNCTION("""COMPUTED_VALUE"""),"UP2-RTL15AE-SHMTORG70")</f>
        <v>UP2-RTL15AE-SHMTORG70</v>
      </c>
      <c r="D330" s="4" t="str">
        <f ca="1">IFERROR(__xludf.DUMMYFUNCTION("""COMPUTED_VALUE"""),"Переход на Mobile SMARTS: Магазин 15 с ЕГАИС, БАЗОВЫЙ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"&amp;"операции: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прин"&amp;"тер,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30" s="4" t="str">
        <f ca="1">IFERROR(__xludf.DUMMYFUNCTION("""COMPUTED_VALUE"""),"Переход на Mobile SMARTS: Магазин 15 с ЕГАИС, БАЗОВЫЙ для «Штрих-М: Торговое предприятие 7.0», для работы с маркированным товаром: алкоголь ЕГАИС и товары по штрихкодам ")</f>
        <v xml:space="preserve">Переход на Mobile SMARTS: Магазин 15 с ЕГАИС, БАЗОВЫЙ для «Штрих-М: Торговое предприятие 7.0», для работы с маркированным товаром: алкоголь ЕГАИС и товары по штрихкодам </v>
      </c>
      <c r="F330" s="5">
        <f ca="1">IFERROR(__xludf.DUMMYFUNCTION("""COMPUTED_VALUE"""),5500)</f>
        <v>5500</v>
      </c>
    </row>
    <row r="331" spans="1:6" ht="44.25" customHeight="1" x14ac:dyDescent="0.2">
      <c r="A331" s="4" t="str">
        <f ca="1">IFERROR(__xludf.DUMMYFUNCTION("""COMPUTED_VALUE"""),"«Штрих-М: Торговое предприятие 7.0»")</f>
        <v>«Штрих-М: Торговое предприятие 7.0»</v>
      </c>
      <c r="B331" s="4" t="str">
        <f ca="1">IFERROR(__xludf.DUMMYFUNCTION("""COMPUTED_VALUE"""),"с ЕГАИС, РАСШИРЕННЫЙ")</f>
        <v>с ЕГАИС, РАСШИРЕННЫЙ</v>
      </c>
      <c r="C331" s="4" t="str">
        <f ca="1">IFERROR(__xludf.DUMMYFUNCTION("""COMPUTED_VALUE"""),"UP2-RTL15BE-SHMTORG70")</f>
        <v>UP2-RTL15BE-SHMTORG70</v>
      </c>
      <c r="D331" s="4" t="str">
        <f ca="1">IFERROR(__xludf.DUMMYFUNCTION("""COMPUTED_VALUE"""),"Переход на Mobile SMARTS: Магазин 15 с ЕГАИС, РАСШИРЕННЫЙ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"&amp;"принтер,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 с ЕГАИС, РАСШИРЕННЫЙ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1" s="4" t="str">
        <f ca="1">IFERROR(__xludf.DUMMYFUNCTION("""COMPUTED_VALUE"""),"Переход на Mobile SMARTS: Магазин 15 с ЕГАИС, РАСШИРЕННЫЙ для «Штрих-М: Торговое предприятие 7.0», для работы с маркированным товаром: алкоголь ЕГАИС и товары по штрихкодам ")</f>
        <v xml:space="preserve">Переход на Mobile SMARTS: Магазин 15 с ЕГАИС, РАСШИРЕННЫЙ для «Штрих-М: Торговое предприятие 7.0», для работы с маркированным товаром: алкоголь ЕГАИС и товары по штрихкодам </v>
      </c>
      <c r="F331" s="5">
        <f ca="1">IFERROR(__xludf.DUMMYFUNCTION("""COMPUTED_VALUE"""),8725)</f>
        <v>8725</v>
      </c>
    </row>
    <row r="332" spans="1:6" ht="44.25" customHeight="1" x14ac:dyDescent="0.2">
      <c r="A332" s="4" t="str">
        <f ca="1">IFERROR(__xludf.DUMMYFUNCTION("""COMPUTED_VALUE"""),"«Штрих-М: Торговое предприятие 7.0»")</f>
        <v>«Штрих-М: Торговое предприятие 7.0»</v>
      </c>
      <c r="B332" s="4" t="str">
        <f ca="1">IFERROR(__xludf.DUMMYFUNCTION("""COMPUTED_VALUE"""),"с ЕГАИС (без CheckMark2), МЕГАМАРКЕТ")</f>
        <v>с ЕГАИС (без CheckMark2), МЕГАМАРКЕТ</v>
      </c>
      <c r="C332" s="4" t="str">
        <f ca="1">IFERROR(__xludf.DUMMYFUNCTION("""COMPUTED_VALUE"""),"UP2-RTL15CEV-SHMTORG70")</f>
        <v>UP2-RTL15CEV-SHMTORG70</v>
      </c>
      <c r="D332" s="4" t="str">
        <f ca="1">IFERROR(__xludf.DUMMYFUNCTION("""COMPUTED_VALUE"""),"Переход на 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есть"&amp;"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колл"&amp;"ективная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Переход на 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2" s="4" t="str">
        <f ca="1">IFERROR(__xludf.DUMMYFUNCTION("""COMPUTED_VALUE"""),"Переход на 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</v>
      </c>
      <c r="F332" s="5">
        <f ca="1">IFERROR(__xludf.DUMMYFUNCTION("""COMPUTED_VALUE"""),11925)</f>
        <v>11925</v>
      </c>
    </row>
    <row r="333" spans="1:6" ht="44.25" customHeight="1" x14ac:dyDescent="0.2">
      <c r="A333" s="4" t="str">
        <f ca="1">IFERROR(__xludf.DUMMYFUNCTION("""COMPUTED_VALUE"""),"«Штрих-М: Торговое предприятие 7.0»")</f>
        <v>«Штрих-М: Торговое предприятие 7.0»</v>
      </c>
      <c r="B333" s="4" t="str">
        <f ca="1">IFERROR(__xludf.DUMMYFUNCTION("""COMPUTED_VALUE"""),"с МОТП, БАЗОВЫЙ")</f>
        <v>с МОТП, БАЗОВЫЙ</v>
      </c>
      <c r="C333" s="4" t="str">
        <f ca="1">IFERROR(__xludf.DUMMYFUNCTION("""COMPUTED_VALUE"""),"UP2-RTL15AT-SHMTORG70")</f>
        <v>UP2-RTL15AT-SHMTORG70</v>
      </c>
      <c r="D333" s="4" t="str">
        <f ca="1">IFERROR(__xludf.DUMMYFUNCTION("""COMPUTED_VALUE"""),"Переход на Mobile SMARTS: Магазин 15 с МОТП, БАЗОВЫЙ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"&amp;"поступление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 с МОТП, БАЗОВЫЙ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3" s="4" t="str">
        <f ca="1">IFERROR(__xludf.DUMMYFUNCTION("""COMPUTED_VALUE"""),"Переход на Mobile SMARTS: Магазин 15 с МОТП, БАЗОВЫЙ для «Штрих-М: Торговое предприятие 7.0», для работы с маркированным товаром: ТАБАК и товары по штрихкодам ")</f>
        <v xml:space="preserve">Переход на Mobile SMARTS: Магазин 15 с МОТП, БАЗОВЫЙ для «Штрих-М: Торговое предприятие 7.0», для работы с маркированным товаром: ТАБАК и товары по штрихкодам </v>
      </c>
      <c r="F333" s="5">
        <f ca="1">IFERROR(__xludf.DUMMYFUNCTION("""COMPUTED_VALUE"""),5575)</f>
        <v>5575</v>
      </c>
    </row>
    <row r="334" spans="1:6" ht="44.25" customHeight="1" x14ac:dyDescent="0.2">
      <c r="A334" s="4" t="str">
        <f ca="1">IFERROR(__xludf.DUMMYFUNCTION("""COMPUTED_VALUE"""),"«Штрих-М: Торговое предприятие 7.0»")</f>
        <v>«Штрих-М: Торговое предприятие 7.0»</v>
      </c>
      <c r="B334" s="4" t="str">
        <f ca="1">IFERROR(__xludf.DUMMYFUNCTION("""COMPUTED_VALUE"""),"с МОТП, РАСШИРЕННЫЙ")</f>
        <v>с МОТП, РАСШИРЕННЫЙ</v>
      </c>
      <c r="C334" s="4" t="str">
        <f ca="1">IFERROR(__xludf.DUMMYFUNCTION("""COMPUTED_VALUE"""),"UP2-RTL15BT-SHMTORG70")</f>
        <v>UP2-RTL15BT-SHMTORG70</v>
      </c>
      <c r="D334" s="4" t="str">
        <f ca="1">IFERROR(__xludf.DUMMYFUNCTION("""COMPUTED_VALUE"""),"Переход на Mobile SMARTS: Магазин 15 с МОТП, РАСШИРЕННЫЙ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операц"&amp;"ии: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возможно"&amp;"сти: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(один"&amp;") год")</f>
        <v>Переход на Mobile SMARTS: Магазин 15 с МОТП, РАСШИРЕННЫЙ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4" s="4" t="str">
        <f ca="1">IFERROR(__xludf.DUMMYFUNCTION("""COMPUTED_VALUE"""),"Переход на Mobile SMARTS: Магазин 15 с МОТП, РАСШИРЕННЫЙ для «Штрих-М: Торговое предприятие 7.0», для работы с маркированным товаром: ТАБАК и товары по штрихкодам ")</f>
        <v xml:space="preserve">Переход на Mobile SMARTS: Магазин 15 с МОТП, РАСШИРЕННЫЙ для «Штрих-М: Торговое предприятие 7.0», для работы с маркированным товаром: ТАБАК и товары по штрихкодам </v>
      </c>
      <c r="F334" s="5">
        <f ca="1">IFERROR(__xludf.DUMMYFUNCTION("""COMPUTED_VALUE"""),8725)</f>
        <v>8725</v>
      </c>
    </row>
    <row r="335" spans="1:6" ht="44.25" customHeight="1" x14ac:dyDescent="0.2">
      <c r="A335" s="4" t="str">
        <f ca="1">IFERROR(__xludf.DUMMYFUNCTION("""COMPUTED_VALUE"""),"«Штрих-М: Торговое предприятие 7.0»")</f>
        <v>«Штрих-М: Торговое предприятие 7.0»</v>
      </c>
      <c r="B335" s="4" t="str">
        <f ca="1">IFERROR(__xludf.DUMMYFUNCTION("""COMPUTED_VALUE"""),"с МОТП, МЕГАМАРКЕТ")</f>
        <v>с МОТП, МЕГАМАРКЕТ</v>
      </c>
      <c r="C335" s="4" t="str">
        <f ca="1">IFERROR(__xludf.DUMMYFUNCTION("""COMPUTED_VALUE"""),"UP2-RTL15CT-SHMTORG70")</f>
        <v>UP2-RTL15CT-SHMTORG70</v>
      </c>
      <c r="D335" s="4" t="str">
        <f ca="1">IFERROR(__xludf.DUMMYFUNCTION("""COMPUTED_VALUE"""),"Переход на Mobile SMARTS: Магазин 15 с МОТП, МЕГАМАРКЕТ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операци"&amp;"и: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возможнос"&amp;"ти: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Переход на Mobile SMARTS: Магазин 15 с МОТП, МЕГАМАРКЕТ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5" s="4" t="str">
        <f ca="1">IFERROR(__xludf.DUMMYFUNCTION("""COMPUTED_VALUE"""),"Переход на Mobile SMARTS: Магазин 15 с МОТП, МЕГАМАРКЕТ для «Штрих-М: Торговое предприятие 7.0», для работы с маркированным товаром: ТАБАК и товары по штрихкодам ")</f>
        <v xml:space="preserve">Переход на Mobile SMARTS: Магазин 15 с МОТП, МЕГАМАРКЕТ для «Штрих-М: Торговое предприятие 7.0», для работы с маркированным товаром: ТАБАК и товары по штрихкодам </v>
      </c>
      <c r="F335" s="5">
        <f ca="1">IFERROR(__xludf.DUMMYFUNCTION("""COMPUTED_VALUE"""),11925)</f>
        <v>11925</v>
      </c>
    </row>
    <row r="336" spans="1:6" ht="44.25" customHeight="1" x14ac:dyDescent="0.2">
      <c r="A336" s="4" t="str">
        <f ca="1">IFERROR(__xludf.DUMMYFUNCTION("""COMPUTED_VALUE"""),"«Штрих-М: Торговое предприятие 7.0»")</f>
        <v>«Штрих-М: Торговое предприятие 7.0»</v>
      </c>
      <c r="B336" s="4" t="str">
        <f ca="1">IFERROR(__xludf.DUMMYFUNCTION("""COMPUTED_VALUE"""),"с ЕГАИС и МОТП, БАЗОВЫЙ")</f>
        <v>с ЕГАИС и МОТП, БАЗОВЫЙ</v>
      </c>
      <c r="C336" s="4" t="str">
        <f ca="1">IFERROR(__xludf.DUMMYFUNCTION("""COMPUTED_VALUE"""),"UP2-RTL15AET-SHMTORG70")</f>
        <v>UP2-RTL15AET-SHMTORG70</v>
      </c>
      <c r="D336" s="4" t="str">
        <f ca="1">IFERROR(__xludf.DUMMYFUNCTION("""COMPUTED_VALUE"""),"Переход на 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до"&amp;"ступные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6" s="4" t="str">
        <f ca="1">IFERROR(__xludf.DUMMYFUNCTION("""COMPUTED_VALUE"""),"Переход на 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</v>
      </c>
      <c r="F336" s="5">
        <f ca="1">IFERROR(__xludf.DUMMYFUNCTION("""COMPUTED_VALUE"""),6075)</f>
        <v>6075</v>
      </c>
    </row>
    <row r="337" spans="1:6" ht="44.25" customHeight="1" x14ac:dyDescent="0.2">
      <c r="A337" s="4" t="str">
        <f ca="1">IFERROR(__xludf.DUMMYFUNCTION("""COMPUTED_VALUE"""),"«Штрих-М: Торговое предприятие 7.0»")</f>
        <v>«Штрих-М: Торговое предприятие 7.0»</v>
      </c>
      <c r="B337" s="4" t="str">
        <f ca="1">IFERROR(__xludf.DUMMYFUNCTION("""COMPUTED_VALUE"""),"с ЕГАИС и МОТП, РАСШИРЕННЫЙ")</f>
        <v>с ЕГАИС и МОТП, РАСШИРЕННЫЙ</v>
      </c>
      <c r="C337" s="4" t="str">
        <f ca="1">IFERROR(__xludf.DUMMYFUNCTION("""COMPUTED_VALUE"""),"UP2-RTL15BET-SHMTORG70")</f>
        <v>UP2-RTL15BET-SHMTORG70</v>
      </c>
      <c r="D337" s="4" t="str">
        <f ca="1">IFERROR(__xludf.DUMMYFUNCTION("""COMPUTED_VALUE"""),"Переход на 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"&amp;"/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пере"&amp;"мещение,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7" s="4" t="str">
        <f ca="1">IFERROR(__xludf.DUMMYFUNCTION("""COMPUTED_VALUE"""),"Переход на 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</v>
      </c>
      <c r="F337" s="5">
        <f ca="1">IFERROR(__xludf.DUMMYFUNCTION("""COMPUTED_VALUE"""),9275)</f>
        <v>9275</v>
      </c>
    </row>
    <row r="338" spans="1:6" ht="44.25" customHeight="1" x14ac:dyDescent="0.2">
      <c r="A338" s="4" t="str">
        <f ca="1">IFERROR(__xludf.DUMMYFUNCTION("""COMPUTED_VALUE"""),"«Штрих-М: Торговое предприятие 7.0»")</f>
        <v>«Штрих-М: Торговое предприятие 7.0»</v>
      </c>
      <c r="B338" s="4" t="str">
        <f ca="1">IFERROR(__xludf.DUMMYFUNCTION("""COMPUTED_VALUE"""),"с ЕГАИС и МОТП, МЕГАМАРКЕТ")</f>
        <v>с ЕГАИС и МОТП, МЕГАМАРКЕТ</v>
      </c>
      <c r="C338" s="4" t="str">
        <f ca="1">IFERROR(__xludf.DUMMYFUNCTION("""COMPUTED_VALUE"""),"UP2-RTL15CET-SHMTORG70")</f>
        <v>UP2-RTL15CET-SHMTORG70</v>
      </c>
      <c r="D338" s="4" t="str">
        <f ca="1">IFERROR(__xludf.DUMMYFUNCTION("""COMPUTED_VALUE"""),"Переход на 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8" s="4" t="str">
        <f ca="1">IFERROR(__xludf.DUMMYFUNCTION("""COMPUTED_VALUE"""),"Переход на 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</v>
      </c>
      <c r="F338" s="5">
        <f ca="1">IFERROR(__xludf.DUMMYFUNCTION("""COMPUTED_VALUE"""),13175)</f>
        <v>13175</v>
      </c>
    </row>
    <row r="339" spans="1:6" ht="44.25" customHeight="1" x14ac:dyDescent="0.2">
      <c r="A339" s="4" t="str">
        <f ca="1">IFERROR(__xludf.DUMMYFUNCTION("""COMPUTED_VALUE"""),"«Штрих-М: Торговое предприятие 7.0»")</f>
        <v>«Штрих-М: Торговое предприятие 7.0»</v>
      </c>
      <c r="B339" s="4" t="str">
        <f ca="1">IFERROR(__xludf.DUMMYFUNCTION("""COMPUTED_VALUE"""),"ШМОТКИ, БАЗОВЫЙ")</f>
        <v>ШМОТКИ, БАЗОВЫЙ</v>
      </c>
      <c r="C339" s="4" t="str">
        <f ca="1">IFERROR(__xludf.DUMMYFUNCTION("""COMPUTED_VALUE"""),"UP2-RTL15AK-SHMTORG70")</f>
        <v>UP2-RTL15AK-SHMTORG70</v>
      </c>
      <c r="D339" s="4" t="str">
        <f ca="1">IFERROR(__xludf.DUMMYFUNCTION("""COMPUTED_VALUE"""),"Переход на 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"&amp;"/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Переход на 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9" s="4" t="str">
        <f ca="1">IFERROR(__xludf.DUMMYFUNCTION("""COMPUTED_VALUE"""),"Переход на 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</v>
      </c>
      <c r="F339" s="5">
        <f ca="1">IFERROR(__xludf.DUMMYFUNCTION("""COMPUTED_VALUE"""),6075)</f>
        <v>6075</v>
      </c>
    </row>
    <row r="340" spans="1:6" ht="44.25" customHeight="1" x14ac:dyDescent="0.2">
      <c r="A340" s="4" t="str">
        <f ca="1">IFERROR(__xludf.DUMMYFUNCTION("""COMPUTED_VALUE"""),"«Штрих-М: Торговое предприятие 7.0»")</f>
        <v>«Штрих-М: Торговое предприятие 7.0»</v>
      </c>
      <c r="B340" s="4" t="str">
        <f ca="1">IFERROR(__xludf.DUMMYFUNCTION("""COMPUTED_VALUE"""),"ШМОТКИ, РАСШИРЕННЫЙ")</f>
        <v>ШМОТКИ, РАСШИРЕННЫЙ</v>
      </c>
      <c r="C340" s="4" t="str">
        <f ca="1">IFERROR(__xludf.DUMMYFUNCTION("""COMPUTED_VALUE"""),"UP2-RTL15BK-SHMTORG70")</f>
        <v>UP2-RTL15BK-SHMTORG70</v>
      </c>
      <c r="D340" s="4" t="str">
        <f ca="1">IFERROR(__xludf.DUMMYFUNCTION("""COMPUTED_VALUE"""),"Переход на 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ОНЛ"&amp;"АЙН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провер"&amp;"ка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Переход на 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0" s="4" t="str">
        <f ca="1">IFERROR(__xludf.DUMMYFUNCTION("""COMPUTED_VALUE"""),"Переход на 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</v>
      </c>
      <c r="F340" s="5">
        <f ca="1">IFERROR(__xludf.DUMMYFUNCTION("""COMPUTED_VALUE"""),9275)</f>
        <v>9275</v>
      </c>
    </row>
    <row r="341" spans="1:6" ht="44.25" customHeight="1" x14ac:dyDescent="0.2">
      <c r="A341" s="4" t="str">
        <f ca="1">IFERROR(__xludf.DUMMYFUNCTION("""COMPUTED_VALUE"""),"«Штрих-М: Торговое предприятие 7.0»")</f>
        <v>«Штрих-М: Торговое предприятие 7.0»</v>
      </c>
      <c r="B341" s="4" t="str">
        <f ca="1">IFERROR(__xludf.DUMMYFUNCTION("""COMPUTED_VALUE"""),"ШМОТКИ, МЕГАМАРКЕТ")</f>
        <v>ШМОТКИ, МЕГАМАРКЕТ</v>
      </c>
      <c r="C341" s="4" t="str">
        <f ca="1">IFERROR(__xludf.DUMMYFUNCTION("""COMPUTED_VALUE"""),"UP2-RTL15CK-SHMTORG70")</f>
        <v>UP2-RTL15CK-SHMTORG70</v>
      </c>
      <c r="D341" s="4" t="str">
        <f ca="1">IFERROR(__xludf.DUMMYFUNCTION("""COMPUTED_VALUE"""),"Переход на 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Переход на 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1" s="4" t="str">
        <f ca="1">IFERROR(__xludf.DUMMYFUNCTION("""COMPUTED_VALUE"""),"Переход на 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</v>
      </c>
      <c r="F341" s="5">
        <f ca="1">IFERROR(__xludf.DUMMYFUNCTION("""COMPUTED_VALUE"""),13175)</f>
        <v>13175</v>
      </c>
    </row>
    <row r="342" spans="1:6" ht="44.25" customHeight="1" x14ac:dyDescent="0.2">
      <c r="A342" s="4" t="str">
        <f ca="1">IFERROR(__xludf.DUMMYFUNCTION("""COMPUTED_VALUE"""),"«Штрих-М: Торговое предприятие 7.0»")</f>
        <v>«Штрих-М: Торговое предприятие 7.0»</v>
      </c>
      <c r="B342" s="4" t="str">
        <f ca="1">IFERROR(__xludf.DUMMYFUNCTION("""COMPUTED_VALUE"""),"ПРОДУКТОВЫЙ, БАЗОВЫЙ")</f>
        <v>ПРОДУКТОВЫЙ, БАЗОВЫЙ</v>
      </c>
      <c r="C342" s="4" t="str">
        <f ca="1">IFERROR(__xludf.DUMMYFUNCTION("""COMPUTED_VALUE"""),"UP2-RTL15AG-SHMTORG70")</f>
        <v>UP2-RTL15AG-SHMTORG70</v>
      </c>
      <c r="D342" s="4" t="str">
        <f ca="1">IFERROR(__xludf.DUMMYFUNCTION("""COMPUTED_VALUE"""),"Переход на 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беспроводно"&amp;"й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по"&amp;"дбор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2" s="4" t="str">
        <f ca="1">IFERROR(__xludf.DUMMYFUNCTION("""COMPUTED_VALUE"""),"Переход на 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</v>
      </c>
      <c r="F342" s="5">
        <f ca="1">IFERROR(__xludf.DUMMYFUNCTION("""COMPUTED_VALUE"""),7275)</f>
        <v>7275</v>
      </c>
    </row>
    <row r="343" spans="1:6" ht="44.25" customHeight="1" x14ac:dyDescent="0.2">
      <c r="A343" s="4" t="str">
        <f ca="1">IFERROR(__xludf.DUMMYFUNCTION("""COMPUTED_VALUE"""),"«Штрих-М: Торговое предприятие 7.0»")</f>
        <v>«Штрих-М: Торговое предприятие 7.0»</v>
      </c>
      <c r="B343" s="4" t="str">
        <f ca="1">IFERROR(__xludf.DUMMYFUNCTION("""COMPUTED_VALUE"""),"ПРОДУКТОВЫЙ, РАСШИРЕННЫЙ")</f>
        <v>ПРОДУКТОВЫЙ, РАСШИРЕННЫЙ</v>
      </c>
      <c r="C343" s="4" t="str">
        <f ca="1">IFERROR(__xludf.DUMMYFUNCTION("""COMPUTED_VALUE"""),"UP2-RTL15BG-SHMTORG70")</f>
        <v>UP2-RTL15BG-SHMTORG70</v>
      </c>
      <c r="D343" s="4" t="str">
        <f ca="1">IFERROR(__xludf.DUMMYFUNCTION("""COMPUTED_VALUE"""),"Переход на 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беспров"&amp;"одной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возврат"&amp;",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3" s="4" t="str">
        <f ca="1">IFERROR(__xludf.DUMMYFUNCTION("""COMPUTED_VALUE"""),"Переход на 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</v>
      </c>
      <c r="F343" s="5">
        <f ca="1">IFERROR(__xludf.DUMMYFUNCTION("""COMPUTED_VALUE"""),10475)</f>
        <v>10475</v>
      </c>
    </row>
    <row r="344" spans="1:6" ht="44.25" customHeight="1" x14ac:dyDescent="0.2">
      <c r="A344" s="4" t="str">
        <f ca="1">IFERROR(__xludf.DUMMYFUNCTION("""COMPUTED_VALUE"""),"«Штрих-М: Торговое предприятие 7.0»")</f>
        <v>«Штрих-М: Торговое предприятие 7.0»</v>
      </c>
      <c r="B344" s="4" t="str">
        <f ca="1">IFERROR(__xludf.DUMMYFUNCTION("""COMPUTED_VALUE"""),"ПРОДУКТОВЫЙ, МЕГАМАРКЕТ")</f>
        <v>ПРОДУКТОВЫЙ, МЕГАМАРКЕТ</v>
      </c>
      <c r="C344" s="4" t="str">
        <f ca="1">IFERROR(__xludf.DUMMYFUNCTION("""COMPUTED_VALUE"""),"UP2-RTL15CG-SHMTORG70")</f>
        <v>UP2-RTL15CG-SHMTORG70</v>
      </c>
      <c r="D344" s="4" t="str">
        <f ca="1">IFERROR(__xludf.DUMMYFUNCTION("""COMPUTED_VALUE"""),"Переход на 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беспрово"&amp;"дной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возврат,"&amp;"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4" s="4" t="str">
        <f ca="1">IFERROR(__xludf.DUMMYFUNCTION("""COMPUTED_VALUE"""),"Переход на 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</v>
      </c>
      <c r="F344" s="5">
        <f ca="1">IFERROR(__xludf.DUMMYFUNCTION("""COMPUTED_VALUE"""),14125)</f>
        <v>14125</v>
      </c>
    </row>
    <row r="345" spans="1:6" ht="44.25" customHeight="1" x14ac:dyDescent="0.2">
      <c r="A345" s="4" t="str">
        <f ca="1">IFERROR(__xludf.DUMMYFUNCTION("""COMPUTED_VALUE"""),"«Штрих-М: Розничная торговля 5.2»")</f>
        <v>«Штрих-М: Розничная торговля 5.2»</v>
      </c>
      <c r="B345" s="4" t="str">
        <f ca="1">IFERROR(__xludf.DUMMYFUNCTION("""COMPUTED_VALUE"""),"МИНИМУМ")</f>
        <v>МИНИМУМ</v>
      </c>
      <c r="C345" s="4" t="str">
        <f ca="1">IFERROR(__xludf.DUMMYFUNCTION("""COMPUTED_VALUE"""),"UP2-RTL15M-SHMRTL52")</f>
        <v>UP2-RTL15M-SHMRTL52</v>
      </c>
      <c r="D345" s="4" t="str">
        <f ca="1">IFERROR(__xludf.DUMMYFUNCTION("""COMPUTED_VALUE"""),"Переход на Mobile SMARTS: Магазин 15, МИНИМУМ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просмо"&amp;"тр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Интернет"&amp;" на 1 (один) год")</f>
        <v>Переход на Mobile SMARTS: Магазин 15, МИНИМУМ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45" s="4" t="str">
        <f ca="1">IFERROR(__xludf.DUMMYFUNCTION("""COMPUTED_VALUE"""),"Переход на Mobile SMARTS: Магазин 15, МИНИМУМ для «Штрих-М: Розничная торговля 5.2», для работы с товаром по штрихкодам ")</f>
        <v xml:space="preserve">Переход на Mobile SMARTS: Магазин 15, МИНИМУМ для «Штрих-М: Розничная торговля 5.2», для работы с товаром по штрихкодам </v>
      </c>
      <c r="F345" s="5">
        <f ca="1">IFERROR(__xludf.DUMMYFUNCTION("""COMPUTED_VALUE"""),1725)</f>
        <v>1725</v>
      </c>
    </row>
    <row r="346" spans="1:6" ht="44.25" customHeight="1" x14ac:dyDescent="0.2">
      <c r="A346" s="4" t="str">
        <f ca="1">IFERROR(__xludf.DUMMYFUNCTION("""COMPUTED_VALUE"""),"«Штрих-М: Розничная торговля 5.2»")</f>
        <v>«Штрих-М: Розничная торговля 5.2»</v>
      </c>
      <c r="B346" s="4" t="str">
        <f ca="1">IFERROR(__xludf.DUMMYFUNCTION("""COMPUTED_VALUE"""),"БАЗОВЫЙ")</f>
        <v>БАЗОВЫЙ</v>
      </c>
      <c r="C346" s="4" t="str">
        <f ca="1">IFERROR(__xludf.DUMMYFUNCTION("""COMPUTED_VALUE"""),"UP2-RTL15A-SHMRTL52")</f>
        <v>UP2-RTL15A-SHMRTL52</v>
      </c>
      <c r="D346" s="4" t="str">
        <f ca="1">IFERROR(__xludf.DUMMYFUNCTION("""COMPUTED_VALUE"""),"Переход на Mobile SMARTS: Магазин 15, БАЗОВЫЙ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переоценка"&amp;"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изменение"&amp;"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6" s="4" t="str">
        <f ca="1">IFERROR(__xludf.DUMMYFUNCTION("""COMPUTED_VALUE"""),"Переход на Mobile SMARTS: Магазин 15, БАЗОВЫЙ для «Штрих-М: Розничная торговля 5.2», для работы с товаром по штрихкодам ")</f>
        <v xml:space="preserve">Переход на Mobile SMARTS: Магазин 15, БАЗОВЫЙ для «Штрих-М: Розничная торговля 5.2», для работы с товаром по штрихкодам </v>
      </c>
      <c r="F346" s="5">
        <f ca="1">IFERROR(__xludf.DUMMYFUNCTION("""COMPUTED_VALUE"""),4325)</f>
        <v>4325</v>
      </c>
    </row>
    <row r="347" spans="1:6" ht="44.25" customHeight="1" x14ac:dyDescent="0.2">
      <c r="A347" s="4" t="str">
        <f ca="1">IFERROR(__xludf.DUMMYFUNCTION("""COMPUTED_VALUE"""),"«Штрих-М: Розничная торговля 5.2»")</f>
        <v>«Штрих-М: Розничная торговля 5.2»</v>
      </c>
      <c r="B347" s="4" t="str">
        <f ca="1">IFERROR(__xludf.DUMMYFUNCTION("""COMPUTED_VALUE"""),"РАСШИРЕННЫЙ")</f>
        <v>РАСШИРЕННЫЙ</v>
      </c>
      <c r="C347" s="4" t="str">
        <f ca="1">IFERROR(__xludf.DUMMYFUNCTION("""COMPUTED_VALUE"""),"UP2-RTL15B-SHMRTL52")</f>
        <v>UP2-RTL15B-SHMRTL52</v>
      </c>
      <c r="D347" s="4" t="str">
        <f ca="1">IFERROR(__xludf.DUMMYFUNCTION("""COMPUTED_VALUE"""),"Переход на Mobile SMARTS: Магазин 15, РАСШИРЕННЫЙ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измен"&amp;"ение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7" s="4" t="str">
        <f ca="1">IFERROR(__xludf.DUMMYFUNCTION("""COMPUTED_VALUE"""),"Переход на Mobile SMARTS: Магазин 15, РАСШИРЕННЫЙ для «Штрих-М: Розничная торговля 5.2», для работы с товаром по штрихкодам ")</f>
        <v xml:space="preserve">Переход на Mobile SMARTS: Магазин 15, РАСШИРЕННЫЙ для «Штрих-М: Розничная торговля 5.2», для работы с товаром по штрихкодам </v>
      </c>
      <c r="F347" s="5">
        <f ca="1">IFERROR(__xludf.DUMMYFUNCTION("""COMPUTED_VALUE"""),7525)</f>
        <v>7525</v>
      </c>
    </row>
    <row r="348" spans="1:6" ht="44.25" customHeight="1" x14ac:dyDescent="0.2">
      <c r="A348" s="4" t="str">
        <f ca="1">IFERROR(__xludf.DUMMYFUNCTION("""COMPUTED_VALUE"""),"«Штрих-М: Розничная торговля 5.2»")</f>
        <v>«Штрих-М: Розничная торговля 5.2»</v>
      </c>
      <c r="B348" s="4" t="str">
        <f ca="1">IFERROR(__xludf.DUMMYFUNCTION("""COMPUTED_VALUE"""),"МЕГАМАРКЕТ")</f>
        <v>МЕГАМАРКЕТ</v>
      </c>
      <c r="C348" s="4" t="str">
        <f ca="1">IFERROR(__xludf.DUMMYFUNCTION("""COMPUTED_VALUE"""),"UP2-RTL15C-SHMRTL52")</f>
        <v>UP2-RTL15C-SHMRTL52</v>
      </c>
      <c r="D348" s="4" t="str">
        <f ca="1">IFERROR(__xludf.DUMMYFUNCTION("""COMPUTED_VALUE"""),"Переход на Mobile SMARTS: Магазин 15, МЕГАМАРКЕТ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переоце"&amp;"нка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8" s="4" t="str">
        <f ca="1">IFERROR(__xludf.DUMMYFUNCTION("""COMPUTED_VALUE"""),"Переход на Mobile SMARTS: Магазин 15, МЕГАМАРКЕТ для «Штрих-М: Розничная торговля 5.2», для работы с товаром по штрихкодам ")</f>
        <v xml:space="preserve">Переход на Mobile SMARTS: Магазин 15, МЕГАМАРКЕТ для «Штрих-М: Розничная торговля 5.2», для работы с товаром по штрихкодам </v>
      </c>
      <c r="F348" s="5">
        <f ca="1">IFERROR(__xludf.DUMMYFUNCTION("""COMPUTED_VALUE"""),10775)</f>
        <v>10775</v>
      </c>
    </row>
    <row r="349" spans="1:6" ht="44.25" customHeight="1" x14ac:dyDescent="0.2">
      <c r="A349" s="4" t="str">
        <f ca="1">IFERROR(__xludf.DUMMYFUNCTION("""COMPUTED_VALUE"""),"«Штрих-М: Розничная торговля 5.2»")</f>
        <v>«Штрих-М: Розничная торговля 5.2»</v>
      </c>
      <c r="B349" s="4" t="str">
        <f ca="1">IFERROR(__xludf.DUMMYFUNCTION("""COMPUTED_VALUE"""),"с ЕГАИС, БАЗОВЫЙ")</f>
        <v>с ЕГАИС, БАЗОВЫЙ</v>
      </c>
      <c r="C349" s="4" t="str">
        <f ca="1">IFERROR(__xludf.DUMMYFUNCTION("""COMPUTED_VALUE"""),"UP2-RTL15AE-SHMRTL52")</f>
        <v>UP2-RTL15AE-SHMRTL52</v>
      </c>
      <c r="D349" s="4" t="str">
        <f ca="1">IFERROR(__xludf.DUMMYFUNCTION("""COMPUTED_VALUE"""),"Переход на Mobile SMARTS: Магазин 15 с ЕГАИС, БАЗОВЫЙ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оп"&amp;"ерации: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принте"&amp;"р,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49" s="4" t="str">
        <f ca="1">IFERROR(__xludf.DUMMYFUNCTION("""COMPUTED_VALUE"""),"Переход на Mobile SMARTS: Магазин 15 с ЕГАИС, БАЗОВЫЙ для «Штрих-М: Розничная торговля 5.2», для работы с маркированным товаром: алкоголь ЕГАИС и товары по штрихкодам ")</f>
        <v xml:space="preserve">Переход на Mobile SMARTS: Магазин 15 с ЕГАИС, БАЗОВЫЙ для «Штрих-М: Розничная торговля 5.2», для работы с маркированным товаром: алкоголь ЕГАИС и товары по штрихкодам </v>
      </c>
      <c r="F349" s="5">
        <f ca="1">IFERROR(__xludf.DUMMYFUNCTION("""COMPUTED_VALUE"""),5500)</f>
        <v>5500</v>
      </c>
    </row>
    <row r="350" spans="1:6" ht="44.25" customHeight="1" x14ac:dyDescent="0.2">
      <c r="A350" s="4" t="str">
        <f ca="1">IFERROR(__xludf.DUMMYFUNCTION("""COMPUTED_VALUE"""),"«Штрих-М: Розничная торговля 5.2»")</f>
        <v>«Штрих-М: Розничная торговля 5.2»</v>
      </c>
      <c r="B350" s="4" t="str">
        <f ca="1">IFERROR(__xludf.DUMMYFUNCTION("""COMPUTED_VALUE"""),"с ЕГАИС, РАСШИРЕННЫЙ")</f>
        <v>с ЕГАИС, РАСШИРЕННЫЙ</v>
      </c>
      <c r="C350" s="4" t="str">
        <f ca="1">IFERROR(__xludf.DUMMYFUNCTION("""COMPUTED_VALUE"""),"UP2-RTL15BE-SHMRTL52")</f>
        <v>UP2-RTL15BE-SHMRTL52</v>
      </c>
      <c r="D350" s="4" t="str">
        <f ca="1">IFERROR(__xludf.DUMMYFUNCTION("""COMPUTED_VALUE"""),"Переход на Mobile SMARTS: Магазин 15 с ЕГАИС, РАСШИРЕННЫЙ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доступны"&amp;"е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пр"&amp;"интер,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(од"&amp;"ин) год")</f>
        <v>Переход на Mobile SMARTS: Магазин 15 с ЕГАИС, РАСШИРЕННЫЙ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0" s="4" t="str">
        <f ca="1">IFERROR(__xludf.DUMMYFUNCTION("""COMPUTED_VALUE"""),"Переход на Mobile SMARTS: Магазин 15 с ЕГАИС, РАСШИРЕННЫЙ для «Штрих-М: Розничная торговля 5.2», для работы с маркированным товаром: алкоголь ЕГАИС и товары по штрихкодам ")</f>
        <v xml:space="preserve">Переход на Mobile SMARTS: Магазин 15 с ЕГАИС, РАСШИРЕННЫЙ для «Штрих-М: Розничная торговля 5.2», для работы с маркированным товаром: алкоголь ЕГАИС и товары по штрихкодам </v>
      </c>
      <c r="F350" s="5">
        <f ca="1">IFERROR(__xludf.DUMMYFUNCTION("""COMPUTED_VALUE"""),8725)</f>
        <v>8725</v>
      </c>
    </row>
    <row r="351" spans="1:6" ht="44.25" customHeight="1" x14ac:dyDescent="0.2">
      <c r="A351" s="4" t="str">
        <f ca="1">IFERROR(__xludf.DUMMYFUNCTION("""COMPUTED_VALUE"""),"«Штрих-М: Розничная торговля 5.2»")</f>
        <v>«Штрих-М: Розничная торговля 5.2»</v>
      </c>
      <c r="B351" s="4" t="str">
        <f ca="1">IFERROR(__xludf.DUMMYFUNCTION("""COMPUTED_VALUE"""),"с ЕГАИС (без CheckMark2), МЕГАМАРКЕТ")</f>
        <v>с ЕГАИС (без CheckMark2), МЕГАМАРКЕТ</v>
      </c>
      <c r="C351" s="4" t="str">
        <f ca="1">IFERROR(__xludf.DUMMYFUNCTION("""COMPUTED_VALUE"""),"UP2-RTL15CEV-SHMRTL52")</f>
        <v>UP2-RTL15CEV-SHMRTL52</v>
      </c>
      <c r="D351" s="4" t="str">
        <f ca="1">IFERROR(__xludf.DUMMYFUNCTION("""COMPUTED_VALUE"""),"Переход на 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О"&amp;"НЛАЙН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коллек"&amp;"тивная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Переход на 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1" s="4" t="str">
        <f ca="1">IFERROR(__xludf.DUMMYFUNCTION("""COMPUTED_VALUE"""),"Переход на 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</v>
      </c>
      <c r="F351" s="5">
        <f ca="1">IFERROR(__xludf.DUMMYFUNCTION("""COMPUTED_VALUE"""),11925)</f>
        <v>11925</v>
      </c>
    </row>
    <row r="352" spans="1:6" ht="44.25" customHeight="1" x14ac:dyDescent="0.2">
      <c r="A352" s="4" t="str">
        <f ca="1">IFERROR(__xludf.DUMMYFUNCTION("""COMPUTED_VALUE"""),"«Штрих-М: Розничная торговля 5.2»")</f>
        <v>«Штрих-М: Розничная торговля 5.2»</v>
      </c>
      <c r="B352" s="4" t="str">
        <f ca="1">IFERROR(__xludf.DUMMYFUNCTION("""COMPUTED_VALUE"""),"с МОТП, БАЗОВЫЙ")</f>
        <v>с МОТП, БАЗОВЫЙ</v>
      </c>
      <c r="C352" s="4" t="str">
        <f ca="1">IFERROR(__xludf.DUMMYFUNCTION("""COMPUTED_VALUE"""),"UP2-RTL15AT-SHMRTL52")</f>
        <v>UP2-RTL15AT-SHMRTL52</v>
      </c>
      <c r="D352" s="4" t="str">
        <f ca="1">IFERROR(__xludf.DUMMYFUNCTION("""COMPUTED_VALUE"""),"Переход на Mobile SMARTS: Магазин 15 с МОТП, БАЗОВЫЙ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по"&amp;"ступление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и"&amp;"нформация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2" s="4" t="str">
        <f ca="1">IFERROR(__xludf.DUMMYFUNCTION("""COMPUTED_VALUE"""),"Переход на Mobile SMARTS: Магазин 15 с МОТП, БАЗОВЫЙ для «Штрих-М: Розничная торговля 5.2», для работы с маркированным товаром: ТАБАК и товары по штрихкодам ")</f>
        <v xml:space="preserve">Переход на Mobile SMARTS: Магазин 15 с МОТП, БАЗОВЫЙ для «Штрих-М: Розничная торговля 5.2», для работы с маркированным товаром: ТАБАК и товары по штрихкодам </v>
      </c>
      <c r="F352" s="5">
        <f ca="1">IFERROR(__xludf.DUMMYFUNCTION("""COMPUTED_VALUE"""),5575)</f>
        <v>5575</v>
      </c>
    </row>
    <row r="353" spans="1:6" ht="44.25" customHeight="1" x14ac:dyDescent="0.2">
      <c r="A353" s="4" t="str">
        <f ca="1">IFERROR(__xludf.DUMMYFUNCTION("""COMPUTED_VALUE"""),"«Штрих-М: Розничная торговля 5.2»")</f>
        <v>«Штрих-М: Розничная торговля 5.2»</v>
      </c>
      <c r="B353" s="4" t="str">
        <f ca="1">IFERROR(__xludf.DUMMYFUNCTION("""COMPUTED_VALUE"""),"с МОТП, РАСШИРЕННЫЙ")</f>
        <v>с МОТП, РАСШИРЕННЫЙ</v>
      </c>
      <c r="C353" s="4" t="str">
        <f ca="1">IFERROR(__xludf.DUMMYFUNCTION("""COMPUTED_VALUE"""),"UP2-RTL15BT-SHMRTL52")</f>
        <v>UP2-RTL15BT-SHMRTL52</v>
      </c>
      <c r="D353" s="4" t="str">
        <f ca="1">IFERROR(__xludf.DUMMYFUNCTION("""COMPUTED_VALUE"""),"Переход на Mobile SMARTS: Магазин 15 с МОТП, РАСШИРЕННЫЙ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операции"&amp;":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возможност"&amp;"и: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"&amp;"год")</f>
        <v>Переход на Mobile SMARTS: Магазин 15 с МОТП, РАСШИРЕННЫЙ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3" s="4" t="str">
        <f ca="1">IFERROR(__xludf.DUMMYFUNCTION("""COMPUTED_VALUE"""),"Переход на Mobile SMARTS: Магазин 15 с МОТП, РАСШИРЕННЫЙ для «Штрих-М: Розничная торговля 5.2», для работы с маркированным товаром: ТАБАК и товары по штрихкодам ")</f>
        <v xml:space="preserve">Переход на Mobile SMARTS: Магазин 15 с МОТП, РАСШИРЕННЫЙ для «Штрих-М: Розничная торговля 5.2», для работы с маркированным товаром: ТАБАК и товары по штрихкодам </v>
      </c>
      <c r="F353" s="5">
        <f ca="1">IFERROR(__xludf.DUMMYFUNCTION("""COMPUTED_VALUE"""),8725)</f>
        <v>8725</v>
      </c>
    </row>
    <row r="354" spans="1:6" ht="44.25" customHeight="1" x14ac:dyDescent="0.2">
      <c r="A354" s="4" t="str">
        <f ca="1">IFERROR(__xludf.DUMMYFUNCTION("""COMPUTED_VALUE"""),"«Штрих-М: Розничная торговля 5.2»")</f>
        <v>«Штрих-М: Розничная торговля 5.2»</v>
      </c>
      <c r="B354" s="4" t="str">
        <f ca="1">IFERROR(__xludf.DUMMYFUNCTION("""COMPUTED_VALUE"""),"с МОТП, МЕГАМАРКЕТ")</f>
        <v>с МОТП, МЕГАМАРКЕТ</v>
      </c>
      <c r="C354" s="4" t="str">
        <f ca="1">IFERROR(__xludf.DUMMYFUNCTION("""COMPUTED_VALUE"""),"UP2-RTL15CT-SHMRTL52")</f>
        <v>UP2-RTL15CT-SHMRTL52</v>
      </c>
      <c r="D354" s="4" t="str">
        <f ca="1">IFERROR(__xludf.DUMMYFUNCTION("""COMPUTED_VALUE"""),"Переход на Mobile SMARTS: Магазин 15 с МОТП, МЕГАМАРКЕТ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операции:"&amp;"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возможности"&amp;":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Переход на Mobile SMARTS: Магазин 15 с МОТП, МЕГАМАРКЕТ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4" s="4" t="str">
        <f ca="1">IFERROR(__xludf.DUMMYFUNCTION("""COMPUTED_VALUE"""),"Переход на Mobile SMARTS: Магазин 15 с МОТП, МЕГАМАРКЕТ для «Штрих-М: Розничная торговля 5.2», для работы с маркированным товаром: ТАБАК и товары по штрихкодам ")</f>
        <v xml:space="preserve">Переход на Mobile SMARTS: Магазин 15 с МОТП, МЕГАМАРКЕТ для «Штрих-М: Розничная торговля 5.2», для работы с маркированным товаром: ТАБАК и товары по штрихкодам </v>
      </c>
      <c r="F354" s="5">
        <f ca="1">IFERROR(__xludf.DUMMYFUNCTION("""COMPUTED_VALUE"""),11925)</f>
        <v>11925</v>
      </c>
    </row>
    <row r="355" spans="1:6" ht="44.25" customHeight="1" x14ac:dyDescent="0.2">
      <c r="A355" s="4" t="str">
        <f ca="1">IFERROR(__xludf.DUMMYFUNCTION("""COMPUTED_VALUE"""),"«Штрих-М: Розничная торговля 5.2»")</f>
        <v>«Штрих-М: Розничная торговля 5.2»</v>
      </c>
      <c r="B355" s="4" t="str">
        <f ca="1">IFERROR(__xludf.DUMMYFUNCTION("""COMPUTED_VALUE"""),"с ЕГАИС и МОТП, БАЗОВЫЙ")</f>
        <v>с ЕГАИС и МОТП, БАЗОВЫЙ</v>
      </c>
      <c r="C355" s="4" t="str">
        <f ca="1">IFERROR(__xludf.DUMMYFUNCTION("""COMPUTED_VALUE"""),"UP2-RTL15AET-SHMRTL52")</f>
        <v>UP2-RTL15AET-SHMRTL52</v>
      </c>
      <c r="D355" s="4" t="str">
        <f ca="1">IFERROR(__xludf.DUMMYFUNCTION("""COMPUTED_VALUE"""),"Переход на Mobile SMARTS: Магазин 15 с ЕГАИС и МОТП, БАЗОВЫЙ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дост"&amp;"упные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перемещени"&amp;"е,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о"&amp;"пераций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5" s="4" t="str">
        <f ca="1">IFERROR(__xludf.DUMMYFUNCTION("""COMPUTED_VALUE"""),"Переход на Mobile SMARTS: Магазин 15 с ЕГАИС и МОТП, БАЗОВЫЙ для «Штрих-М: Розничная торговля 5.2»,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«Штрих-М: Розничная торговля 5.2», для работы с маркированным товаром: АЛКОГОЛЬ, ТАБАК и товары по штрихкодам </v>
      </c>
      <c r="F355" s="5">
        <f ca="1">IFERROR(__xludf.DUMMYFUNCTION("""COMPUTED_VALUE"""),6075)</f>
        <v>6075</v>
      </c>
    </row>
    <row r="356" spans="1:6" ht="44.25" customHeight="1" x14ac:dyDescent="0.2">
      <c r="A356" s="4" t="str">
        <f ca="1">IFERROR(__xludf.DUMMYFUNCTION("""COMPUTED_VALUE"""),"«Штрих-М: Розничная торговля 5.2»")</f>
        <v>«Штрих-М: Розничная торговля 5.2»</v>
      </c>
      <c r="B356" s="4" t="str">
        <f ca="1">IFERROR(__xludf.DUMMYFUNCTION("""COMPUTED_VALUE"""),"с ЕГАИС и МОТП, РАСШИРЕННЫЙ")</f>
        <v>с ЕГАИС и МОТП, РАСШИРЕННЫЙ</v>
      </c>
      <c r="C356" s="4" t="str">
        <f ca="1">IFERROR(__xludf.DUMMYFUNCTION("""COMPUTED_VALUE"""),"UP2-RTL15BET-SHMRTL52")</f>
        <v>UP2-RTL15BET-SHMRTL52</v>
      </c>
      <c r="D356" s="4" t="str">
        <f ca="1">IFERROR(__xludf.DUMMYFUNCTION("""COMPUTED_VALUE"""),"Переход на 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"&amp;"доступные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переме"&amp;"щение,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существующ"&amp;"их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6" s="4" t="str">
        <f ca="1">IFERROR(__xludf.DUMMYFUNCTION("""COMPUTED_VALUE"""),"Переход на 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</v>
      </c>
      <c r="F356" s="5">
        <f ca="1">IFERROR(__xludf.DUMMYFUNCTION("""COMPUTED_VALUE"""),9275)</f>
        <v>9275</v>
      </c>
    </row>
    <row r="357" spans="1:6" ht="44.25" customHeight="1" x14ac:dyDescent="0.2">
      <c r="A357" s="4" t="str">
        <f ca="1">IFERROR(__xludf.DUMMYFUNCTION("""COMPUTED_VALUE"""),"«Штрих-М: Розничная торговля 5.2»")</f>
        <v>«Штрих-М: Розничная торговля 5.2»</v>
      </c>
      <c r="B357" s="4" t="str">
        <f ca="1">IFERROR(__xludf.DUMMYFUNCTION("""COMPUTED_VALUE"""),"с ЕГАИС и МОТП, МЕГАМАРКЕТ")</f>
        <v>с ЕГАИС и МОТП, МЕГАМАРКЕТ</v>
      </c>
      <c r="C357" s="4" t="str">
        <f ca="1">IFERROR(__xludf.DUMMYFUNCTION("""COMPUTED_VALUE"""),"UP2-RTL15CET-SHMRTL52")</f>
        <v>UP2-RTL15CET-SHMRTL52</v>
      </c>
      <c r="D357" s="4" t="str">
        <f ca="1">IFERROR(__xludf.DUMMYFUNCTION("""COMPUTED_VALUE"""),"Переход на 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д"&amp;"оступные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перемещ"&amp;"ение,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"&amp;"изменение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7" s="4" t="str">
        <f ca="1">IFERROR(__xludf.DUMMYFUNCTION("""COMPUTED_VALUE"""),"Переход на 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</v>
      </c>
      <c r="F357" s="5">
        <f ca="1">IFERROR(__xludf.DUMMYFUNCTION("""COMPUTED_VALUE"""),13175)</f>
        <v>13175</v>
      </c>
    </row>
    <row r="358" spans="1:6" ht="44.25" customHeight="1" x14ac:dyDescent="0.2">
      <c r="A358" s="4" t="str">
        <f ca="1">IFERROR(__xludf.DUMMYFUNCTION("""COMPUTED_VALUE"""),"«Штрих-М: Розничная торговля 5.2»")</f>
        <v>«Штрих-М: Розничная торговля 5.2»</v>
      </c>
      <c r="B358" s="4" t="str">
        <f ca="1">IFERROR(__xludf.DUMMYFUNCTION("""COMPUTED_VALUE"""),"ШМОТКИ, БАЗОВЫЙ")</f>
        <v>ШМОТКИ, БАЗОВЫЙ</v>
      </c>
      <c r="C358" s="4" t="str">
        <f ca="1">IFERROR(__xludf.DUMMYFUNCTION("""COMPUTED_VALUE"""),"UP2-RTL15AK-SHMRTL52")</f>
        <v>UP2-RTL15AK-SHMRTL52</v>
      </c>
      <c r="D358" s="4" t="str">
        <f ca="1">IFERROR(__xludf.DUMMYFUNCTION("""COMPUTED_VALUE"""),"Переход на 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"&amp;"доступные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QR-"&amp;"кодов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Переход на 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8" s="4" t="str">
        <f ca="1">IFERROR(__xludf.DUMMYFUNCTION("""COMPUTED_VALUE"""),"Переход на 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</v>
      </c>
      <c r="F358" s="5">
        <f ca="1">IFERROR(__xludf.DUMMYFUNCTION("""COMPUTED_VALUE"""),6075)</f>
        <v>6075</v>
      </c>
    </row>
    <row r="359" spans="1:6" ht="44.25" customHeight="1" x14ac:dyDescent="0.2">
      <c r="A359" s="4" t="str">
        <f ca="1">IFERROR(__xludf.DUMMYFUNCTION("""COMPUTED_VALUE"""),"«Штрих-М: Розничная торговля 5.2»")</f>
        <v>«Штрих-М: Розничная торговля 5.2»</v>
      </c>
      <c r="B359" s="4" t="str">
        <f ca="1">IFERROR(__xludf.DUMMYFUNCTION("""COMPUTED_VALUE"""),"ШМОТКИ, РАСШИРЕННЫЙ")</f>
        <v>ШМОТКИ, РАСШИРЕННЫЙ</v>
      </c>
      <c r="C359" s="4" t="str">
        <f ca="1">IFERROR(__xludf.DUMMYFUNCTION("""COMPUTED_VALUE"""),"UP2-RTL15BK-SHMRTL52")</f>
        <v>UP2-RTL15BK-SHMRTL52</v>
      </c>
      <c r="D359" s="4" t="str">
        <f ca="1">IFERROR(__xludf.DUMMYFUNCTION("""COMPUTED_VALUE"""),"Переход на 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Переход на 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9" s="4" t="str">
        <f ca="1">IFERROR(__xludf.DUMMYFUNCTION("""COMPUTED_VALUE"""),"Переход на 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</v>
      </c>
      <c r="F359" s="5">
        <f ca="1">IFERROR(__xludf.DUMMYFUNCTION("""COMPUTED_VALUE"""),9275)</f>
        <v>9275</v>
      </c>
    </row>
    <row r="360" spans="1:6" ht="44.25" customHeight="1" x14ac:dyDescent="0.2">
      <c r="A360" s="4" t="str">
        <f ca="1">IFERROR(__xludf.DUMMYFUNCTION("""COMPUTED_VALUE"""),"«Штрих-М: Розничная торговля 5.2»")</f>
        <v>«Штрих-М: Розничная торговля 5.2»</v>
      </c>
      <c r="B360" s="4" t="str">
        <f ca="1">IFERROR(__xludf.DUMMYFUNCTION("""COMPUTED_VALUE"""),"ШМОТКИ, МЕГАМАРКЕТ")</f>
        <v>ШМОТКИ, МЕГАМАРКЕТ</v>
      </c>
      <c r="C360" s="4" t="str">
        <f ca="1">IFERROR(__xludf.DUMMYFUNCTION("""COMPUTED_VALUE"""),"UP2-RTL15CK-SHMRTL52")</f>
        <v>UP2-RTL15CK-SHMRTL52</v>
      </c>
      <c r="D360" s="4" t="str">
        <f ca="1">IFERROR(__xludf.DUMMYFUNCTION("""COMPUTED_VALUE"""),"Переход на 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ОНЛАЙН"&amp;"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"&amp;"QR-кодов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Переход на 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0" s="4" t="str">
        <f ca="1">IFERROR(__xludf.DUMMYFUNCTION("""COMPUTED_VALUE"""),"Переход на 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</v>
      </c>
      <c r="F360" s="5">
        <f ca="1">IFERROR(__xludf.DUMMYFUNCTION("""COMPUTED_VALUE"""),13175)</f>
        <v>13175</v>
      </c>
    </row>
    <row r="361" spans="1:6" ht="44.25" customHeight="1" x14ac:dyDescent="0.2">
      <c r="A361" s="4" t="str">
        <f ca="1">IFERROR(__xludf.DUMMYFUNCTION("""COMPUTED_VALUE"""),"«Штрих-М: Розничная торговля 5.2»")</f>
        <v>«Штрих-М: Розничная торговля 5.2»</v>
      </c>
      <c r="B361" s="4" t="str">
        <f ca="1">IFERROR(__xludf.DUMMYFUNCTION("""COMPUTED_VALUE"""),"ПРОДУКТОВЫЙ, БАЗОВЫЙ")</f>
        <v>ПРОДУКТОВЫЙ, БАЗОВЫЙ</v>
      </c>
      <c r="C361" s="4" t="str">
        <f ca="1">IFERROR(__xludf.DUMMYFUNCTION("""COMPUTED_VALUE"""),"UP2-RTL15AG-SHMRTL52")</f>
        <v>UP2-RTL15AG-SHMRTL52</v>
      </c>
      <c r="D361" s="4" t="str">
        <f ca="1">IFERROR(__xludf.DUMMYFUNCTION("""COMPUTED_VALUE"""),"Переход на 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"&amp;"или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подб"&amp;"ор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1" s="4" t="str">
        <f ca="1">IFERROR(__xludf.DUMMYFUNCTION("""COMPUTED_VALUE"""),"Переход на 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</v>
      </c>
      <c r="F361" s="5">
        <f ca="1">IFERROR(__xludf.DUMMYFUNCTION("""COMPUTED_VALUE"""),7275)</f>
        <v>7275</v>
      </c>
    </row>
    <row r="362" spans="1:6" ht="44.25" customHeight="1" x14ac:dyDescent="0.2">
      <c r="A362" s="4" t="str">
        <f ca="1">IFERROR(__xludf.DUMMYFUNCTION("""COMPUTED_VALUE"""),"«Штрих-М: Розничная торговля 5.2»")</f>
        <v>«Штрих-М: Розничная торговля 5.2»</v>
      </c>
      <c r="B362" s="4" t="str">
        <f ca="1">IFERROR(__xludf.DUMMYFUNCTION("""COMPUTED_VALUE"""),"ПРОДУКТОВЫЙ, РАСШИРЕННЫЙ")</f>
        <v>ПРОДУКТОВЫЙ, РАСШИРЕННЫЙ</v>
      </c>
      <c r="C362" s="4" t="str">
        <f ca="1">IFERROR(__xludf.DUMMYFUNCTION("""COMPUTED_VALUE"""),"UP2-RTL15BG-SHMRTL52")</f>
        <v>UP2-RTL15BG-SHMRTL52</v>
      </c>
      <c r="D362" s="4" t="str">
        <f ca="1">IFERROR(__xludf.DUMMYFUNCTION("""COMPUTED_VALUE"""),"Переход на 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беспровод"&amp;"ной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"&amp;"подбор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оста"&amp;"тках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2" s="4" t="str">
        <f ca="1">IFERROR(__xludf.DUMMYFUNCTION("""COMPUTED_VALUE"""),"Переход на 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</v>
      </c>
      <c r="F362" s="5">
        <f ca="1">IFERROR(__xludf.DUMMYFUNCTION("""COMPUTED_VALUE"""),10475)</f>
        <v>10475</v>
      </c>
    </row>
    <row r="363" spans="1:6" ht="44.25" customHeight="1" x14ac:dyDescent="0.2">
      <c r="A363" s="4" t="str">
        <f ca="1">IFERROR(__xludf.DUMMYFUNCTION("""COMPUTED_VALUE"""),"«Штрих-М: Розничная торговля 5.2»")</f>
        <v>«Штрих-М: Розничная торговля 5.2»</v>
      </c>
      <c r="B363" s="4" t="str">
        <f ca="1">IFERROR(__xludf.DUMMYFUNCTION("""COMPUTED_VALUE"""),"ПРОДУКТОВЫЙ, МЕГАМАРКЕТ")</f>
        <v>ПРОДУКТОВЫЙ, МЕГАМАРКЕТ</v>
      </c>
      <c r="C363" s="4" t="str">
        <f ca="1">IFERROR(__xludf.DUMMYFUNCTION("""COMPUTED_VALUE"""),"UP2-RTL15CG-SHMRTL52")</f>
        <v>UP2-RTL15CG-SHMRTL52</v>
      </c>
      <c r="D363" s="4" t="str">
        <f ca="1">IFERROR(__xludf.DUMMYFUNCTION("""COMPUTED_VALUE"""),"Переход на 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беспроводн"&amp;"ой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п"&amp;"одбор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складах"&amp;",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3" s="4" t="str">
        <f ca="1">IFERROR(__xludf.DUMMYFUNCTION("""COMPUTED_VALUE"""),"Переход на 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</v>
      </c>
      <c r="F363" s="5">
        <f ca="1">IFERROR(__xludf.DUMMYFUNCTION("""COMPUTED_VALUE"""),14125)</f>
        <v>14125</v>
      </c>
    </row>
    <row r="364" spans="1:6" ht="44.25" customHeight="1" x14ac:dyDescent="0.2">
      <c r="A364" s="4" t="str">
        <f ca="1">IFERROR(__xludf.DUMMYFUNCTION("""COMPUTED_VALUE"""),"«Штрих-М: Магазин 5.2»")</f>
        <v>«Штрих-М: Магазин 5.2»</v>
      </c>
      <c r="B364" s="4" t="str">
        <f ca="1">IFERROR(__xludf.DUMMYFUNCTION("""COMPUTED_VALUE"""),"МИНИМУМ")</f>
        <v>МИНИМУМ</v>
      </c>
      <c r="C364" s="4" t="str">
        <f ca="1">IFERROR(__xludf.DUMMYFUNCTION("""COMPUTED_VALUE"""),"UP2-RTL15M-SHMSTORE52")</f>
        <v>UP2-RTL15M-SHMSTORE52</v>
      </c>
      <c r="D364" s="4" t="str">
        <f ca="1">IFERROR(__xludf.DUMMYFUNCTION("""COMPUTED_VALUE"""),"Переход на Mobile SMARTS: Магазин 15, МИНИМУМ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товаров,"&amp;"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(один"&amp;") год")</f>
        <v>Переход на Mobile SMARTS: Магазин 15, МИНИМУМ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64" s="4" t="str">
        <f ca="1">IFERROR(__xludf.DUMMYFUNCTION("""COMPUTED_VALUE"""),"Переход на Mobile SMARTS: Магазин 15, МИНИМУМ для «Штрих-М: Магазин 5.2», для работы с товаром по штрихкодам ")</f>
        <v xml:space="preserve">Переход на Mobile SMARTS: Магазин 15, МИНИМУМ для «Штрих-М: Магазин 5.2», для работы с товаром по штрихкодам </v>
      </c>
      <c r="F364" s="5">
        <f ca="1">IFERROR(__xludf.DUMMYFUNCTION("""COMPUTED_VALUE"""),1725)</f>
        <v>1725</v>
      </c>
    </row>
    <row r="365" spans="1:6" ht="44.25" customHeight="1" x14ac:dyDescent="0.2">
      <c r="A365" s="4" t="str">
        <f ca="1">IFERROR(__xludf.DUMMYFUNCTION("""COMPUTED_VALUE"""),"«Штрих-М: Магазин 5.2»")</f>
        <v>«Штрих-М: Магазин 5.2»</v>
      </c>
      <c r="B365" s="4" t="str">
        <f ca="1">IFERROR(__xludf.DUMMYFUNCTION("""COMPUTED_VALUE"""),"БАЗОВЫЙ")</f>
        <v>БАЗОВЫЙ</v>
      </c>
      <c r="C365" s="4" t="str">
        <f ca="1">IFERROR(__xludf.DUMMYFUNCTION("""COMPUTED_VALUE"""),"UP2-RTL15A-SHMSTORE52")</f>
        <v>UP2-RTL15A-SHMSTORE52</v>
      </c>
      <c r="D365" s="4" t="str">
        <f ca="1">IFERROR(__xludf.DUMMYFUNCTION("""COMPUTED_VALUE"""),"Переход на Mobile SMARTS: Магазин 15, БАЗОВЫЙ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"&amp;"печатью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существующ"&amp;"их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5" s="4" t="str">
        <f ca="1">IFERROR(__xludf.DUMMYFUNCTION("""COMPUTED_VALUE"""),"Переход на Mobile SMARTS: Магазин 15, БАЗОВЫЙ для «Штрих-М: Магазин 5.2», для работы с товаром по штрихкодам ")</f>
        <v xml:space="preserve">Переход на Mobile SMARTS: Магазин 15, БАЗОВЫЙ для «Штрих-М: Магазин 5.2», для работы с товаром по штрихкодам </v>
      </c>
      <c r="F365" s="5">
        <f ca="1">IFERROR(__xludf.DUMMYFUNCTION("""COMPUTED_VALUE"""),4325)</f>
        <v>4325</v>
      </c>
    </row>
    <row r="366" spans="1:6" ht="44.25" customHeight="1" x14ac:dyDescent="0.2">
      <c r="A366" s="4" t="str">
        <f ca="1">IFERROR(__xludf.DUMMYFUNCTION("""COMPUTED_VALUE"""),"«Штрих-М: Магазин 5.2»")</f>
        <v>«Штрих-М: Магазин 5.2»</v>
      </c>
      <c r="B366" s="4" t="str">
        <f ca="1">IFERROR(__xludf.DUMMYFUNCTION("""COMPUTED_VALUE"""),"РАСШИРЕННЫЙ")</f>
        <v>РАСШИРЕННЫЙ</v>
      </c>
      <c r="C366" s="4" t="str">
        <f ca="1">IFERROR(__xludf.DUMMYFUNCTION("""COMPUTED_VALUE"""),"UP2-RTL15B-SHMSTORE52")</f>
        <v>UP2-RTL15B-SHMSTORE52</v>
      </c>
      <c r="D366" s="4" t="str">
        <f ca="1">IFERROR(__xludf.DUMMYFUNCTION("""COMPUTED_VALUE"""),"Переход на Mobile SMARTS: Магазин 15, РАСШИРЕННЫЙ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т.ч"&amp;".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6" s="4" t="str">
        <f ca="1">IFERROR(__xludf.DUMMYFUNCTION("""COMPUTED_VALUE"""),"Переход на Mobile SMARTS: Магазин 15, РАСШИРЕННЫЙ для «Штрих-М: Магазин 5.2», для работы с товаром по штрихкодам ")</f>
        <v xml:space="preserve">Переход на Mobile SMARTS: Магазин 15, РАСШИРЕННЫЙ для «Штрих-М: Магазин 5.2», для работы с товаром по штрихкодам </v>
      </c>
      <c r="F366" s="5">
        <f ca="1">IFERROR(__xludf.DUMMYFUNCTION("""COMPUTED_VALUE"""),7525)</f>
        <v>7525</v>
      </c>
    </row>
    <row r="367" spans="1:6" ht="44.25" customHeight="1" x14ac:dyDescent="0.2">
      <c r="A367" s="4" t="str">
        <f ca="1">IFERROR(__xludf.DUMMYFUNCTION("""COMPUTED_VALUE"""),"«Штрих-М: Магазин 5.2»")</f>
        <v>«Штрих-М: Магазин 5.2»</v>
      </c>
      <c r="B367" s="4" t="str">
        <f ca="1">IFERROR(__xludf.DUMMYFUNCTION("""COMPUTED_VALUE"""),"МЕГАМАРКЕТ")</f>
        <v>МЕГАМАРКЕТ</v>
      </c>
      <c r="C367" s="4" t="str">
        <f ca="1">IFERROR(__xludf.DUMMYFUNCTION("""COMPUTED_VALUE"""),"UP2-RTL15C-SHMSTORE52")</f>
        <v>UP2-RTL15C-SHMSTORE52</v>
      </c>
      <c r="D367" s="4" t="str">
        <f ca="1">IFERROR(__xludf.DUMMYFUNCTION("""COMPUTED_VALUE"""),"Переход на Mobile SMARTS: Магазин 15, МЕГАМАРКЕТ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т.ч."&amp;"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экран"&amp;"е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7" s="4" t="str">
        <f ca="1">IFERROR(__xludf.DUMMYFUNCTION("""COMPUTED_VALUE"""),"Переход на Mobile SMARTS: Магазин 15, МЕГАМАРКЕТ для «Штрих-М: Магазин 5.2», для работы с товаром по штрихкодам ")</f>
        <v xml:space="preserve">Переход на Mobile SMARTS: Магазин 15, МЕГАМАРКЕТ для «Штрих-М: Магазин 5.2», для работы с товаром по штрихкодам </v>
      </c>
      <c r="F367" s="5">
        <f ca="1">IFERROR(__xludf.DUMMYFUNCTION("""COMPUTED_VALUE"""),10775)</f>
        <v>10775</v>
      </c>
    </row>
    <row r="368" spans="1:6" ht="44.25" customHeight="1" x14ac:dyDescent="0.2">
      <c r="A368" s="4" t="str">
        <f ca="1">IFERROR(__xludf.DUMMYFUNCTION("""COMPUTED_VALUE"""),"«Штрих-М: Магазин 5.2»")</f>
        <v>«Штрих-М: Магазин 5.2»</v>
      </c>
      <c r="B368" s="4" t="str">
        <f ca="1">IFERROR(__xludf.DUMMYFUNCTION("""COMPUTED_VALUE"""),"с ЕГАИС, БАЗОВЫЙ")</f>
        <v>с ЕГАИС, БАЗОВЫЙ</v>
      </c>
      <c r="C368" s="4" t="str">
        <f ca="1">IFERROR(__xludf.DUMMYFUNCTION("""COMPUTED_VALUE"""),"UP2-RTL15AE-SHMSTORE52")</f>
        <v>UP2-RTL15AE-SHMSTORE52</v>
      </c>
      <c r="D368" s="4" t="str">
        <f ca="1">IFERROR(__xludf.DUMMYFUNCTION("""COMPUTED_VALUE"""),"Переход на Mobile SMARTS: Магазин 15 с ЕГАИС, БАЗОВЫЙ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сбо"&amp;"р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информац"&amp;"ия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68" s="4" t="str">
        <f ca="1">IFERROR(__xludf.DUMMYFUNCTION("""COMPUTED_VALUE"""),"Переход на Mobile SMARTS: Магазин 15 с ЕГАИС, БАЗОВЫЙ для «Штрих-М: Магазин 5.2», для работы с маркированным товаром: алкоголь ЕГАИС и товары по штрихкодам ")</f>
        <v xml:space="preserve">Переход на Mobile SMARTS: Магазин 15 с ЕГАИС, БАЗОВЫЙ для «Штрих-М: Магазин 5.2», для работы с маркированным товаром: алкоголь ЕГАИС и товары по штрихкодам </v>
      </c>
      <c r="F368" s="5">
        <f ca="1">IFERROR(__xludf.DUMMYFUNCTION("""COMPUTED_VALUE"""),5500)</f>
        <v>5500</v>
      </c>
    </row>
    <row r="369" spans="1:6" ht="44.25" customHeight="1" x14ac:dyDescent="0.2">
      <c r="A369" s="4" t="str">
        <f ca="1">IFERROR(__xludf.DUMMYFUNCTION("""COMPUTED_VALUE"""),"«Штрих-М: Магазин 5.2»")</f>
        <v>«Штрих-М: Магазин 5.2»</v>
      </c>
      <c r="B369" s="4" t="str">
        <f ca="1">IFERROR(__xludf.DUMMYFUNCTION("""COMPUTED_VALUE"""),"с ЕГАИС, РАСШИРЕННЫЙ")</f>
        <v>с ЕГАИС, РАСШИРЕННЫЙ</v>
      </c>
      <c r="C369" s="4" t="str">
        <f ca="1">IFERROR(__xludf.DUMMYFUNCTION("""COMPUTED_VALUE"""),"UP2-RTL15BE-SHMSTORE52")</f>
        <v>UP2-RTL15BE-SHMSTORE52</v>
      </c>
      <c r="D369" s="4" t="str">
        <f ca="1">IFERROR(__xludf.DUMMYFUNCTION("""COMPUTED_VALUE"""),"Переход на Mobile SMARTS: Магазин 15 с ЕГАИС, РАСШИРЕННЫЙ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операции:"&amp;"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инфо"&amp;"рмация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РАСШИРЕННЫЙ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9" s="4" t="str">
        <f ca="1">IFERROR(__xludf.DUMMYFUNCTION("""COMPUTED_VALUE"""),"Переход на Mobile SMARTS: Магазин 15 с ЕГАИС, РАСШИРЕННЫЙ для «Штрих-М: Магазин 5.2», для работы с маркированным товаром: алкоголь ЕГАИС и товары по штрихкодам ")</f>
        <v xml:space="preserve">Переход на Mobile SMARTS: Магазин 15 с ЕГАИС, РАСШИРЕННЫЙ для «Штрих-М: Магазин 5.2», для работы с маркированным товаром: алкоголь ЕГАИС и товары по штрихкодам </v>
      </c>
      <c r="F369" s="5">
        <f ca="1">IFERROR(__xludf.DUMMYFUNCTION("""COMPUTED_VALUE"""),8725)</f>
        <v>8725</v>
      </c>
    </row>
    <row r="370" spans="1:6" ht="44.25" customHeight="1" x14ac:dyDescent="0.2">
      <c r="A370" s="4" t="str">
        <f ca="1">IFERROR(__xludf.DUMMYFUNCTION("""COMPUTED_VALUE"""),"«Штрих-М: Магазин 5.2»")</f>
        <v>«Штрих-М: Магазин 5.2»</v>
      </c>
      <c r="B370" s="4" t="str">
        <f ca="1">IFERROR(__xludf.DUMMYFUNCTION("""COMPUTED_VALUE"""),"с ЕГАИС (без CheckMark2), МЕГАМАРКЕТ")</f>
        <v>с ЕГАИС (без CheckMark2), МЕГАМАРКЕТ</v>
      </c>
      <c r="C370" s="4" t="str">
        <f ca="1">IFERROR(__xludf.DUMMYFUNCTION("""COMPUTED_VALUE"""),"UP2-RTL15CEV-SHMSTORE52")</f>
        <v>UP2-RTL15CEV-SHMSTORE52</v>
      </c>
      <c r="D370" s="4" t="str">
        <f ca="1">IFERROR(__xludf.DUMMYFUNCTION("""COMPUTED_VALUE"""),"Переход на Mobile SMARTS: Магазин 15 с ЕГАИС (без CheckMark2), МЕГАМАРКЕТ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дос"&amp;"тупные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рабо"&amp;"та,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обме"&amp;"н через Интернет на 1 (один) год")</f>
        <v>Переход на Mobile SMARTS: Магазин 15 с ЕГАИС (без CheckMark2), МЕГАМАРКЕТ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0" s="4" t="str">
        <f ca="1">IFERROR(__xludf.DUMMYFUNCTION("""COMPUTED_VALUE"""),"Переход на Mobile SMARTS: Магазин 15 с ЕГАИС (без CheckMark2), МЕГАМАРКЕТ для «Штрих-М: Магазин 5.2»,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«Штрих-М: Магазин 5.2», для работы с маркированным товаром: алкоголь ЕГАИС и товары по штрихкодам </v>
      </c>
      <c r="F370" s="5">
        <f ca="1">IFERROR(__xludf.DUMMYFUNCTION("""COMPUTED_VALUE"""),11925)</f>
        <v>11925</v>
      </c>
    </row>
    <row r="371" spans="1:6" ht="44.25" customHeight="1" x14ac:dyDescent="0.2">
      <c r="A371" s="4" t="str">
        <f ca="1">IFERROR(__xludf.DUMMYFUNCTION("""COMPUTED_VALUE"""),"«Штрих-М: Магазин 5.2»")</f>
        <v>«Штрих-М: Магазин 5.2»</v>
      </c>
      <c r="B371" s="4" t="str">
        <f ca="1">IFERROR(__xludf.DUMMYFUNCTION("""COMPUTED_VALUE"""),"с МОТП, БАЗОВЫЙ")</f>
        <v>с МОТП, БАЗОВЫЙ</v>
      </c>
      <c r="C371" s="4" t="str">
        <f ca="1">IFERROR(__xludf.DUMMYFUNCTION("""COMPUTED_VALUE"""),"UP2-RTL15AT-SHMSTORE52")</f>
        <v>UP2-RTL15AT-SHMSTORE52</v>
      </c>
      <c r="D371" s="4" t="str">
        <f ca="1">IFERROR(__xludf.DUMMYFUNCTION("""COMPUTED_VALUE"""),"Переход на Mobile SMARTS: Магазин 15 с МОТП, БАЗОВЫЙ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("&amp;"в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1" s="4" t="str">
        <f ca="1">IFERROR(__xludf.DUMMYFUNCTION("""COMPUTED_VALUE"""),"Переход на Mobile SMARTS: Магазин 15 с МОТП, БАЗОВЫЙ для «Штрих-М: Магазин 5.2», для работы с маркированным товаром: ТАБАК и товары по штрихкодам ")</f>
        <v xml:space="preserve">Переход на Mobile SMARTS: Магазин 15 с МОТП, БАЗОВЫЙ для «Штрих-М: Магазин 5.2», для работы с маркированным товаром: ТАБАК и товары по штрихкодам </v>
      </c>
      <c r="F371" s="5">
        <f ca="1">IFERROR(__xludf.DUMMYFUNCTION("""COMPUTED_VALUE"""),5575)</f>
        <v>5575</v>
      </c>
    </row>
    <row r="372" spans="1:6" ht="44.25" customHeight="1" x14ac:dyDescent="0.2">
      <c r="A372" s="4" t="str">
        <f ca="1">IFERROR(__xludf.DUMMYFUNCTION("""COMPUTED_VALUE"""),"«Штрих-М: Магазин 5.2»")</f>
        <v>«Штрих-М: Магазин 5.2»</v>
      </c>
      <c r="B372" s="4" t="str">
        <f ca="1">IFERROR(__xludf.DUMMYFUNCTION("""COMPUTED_VALUE"""),"с МОТП, РАСШИРЕННЫЙ")</f>
        <v>с МОТП, РАСШИРЕННЫЙ</v>
      </c>
      <c r="C372" s="4" t="str">
        <f ca="1">IFERROR(__xludf.DUMMYFUNCTION("""COMPUTED_VALUE"""),"UP2-RTL15BT-SHMSTORE52")</f>
        <v>UP2-RTL15BT-SHMSTORE52</v>
      </c>
      <c r="D372" s="4" t="str">
        <f ca="1">IFERROR(__xludf.DUMMYFUNCTION("""COMPUTED_VALUE"""),"Переход на Mobile SMARTS: Магазин 15 с МОТП, РАСШИРЕННЫЙ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поступлен"&amp;"ие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информац"&amp;"ия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РАСШИРЕННЫЙ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2" s="4" t="str">
        <f ca="1">IFERROR(__xludf.DUMMYFUNCTION("""COMPUTED_VALUE"""),"Переход на Mobile SMARTS: Магазин 15 с МОТП, РАСШИРЕННЫЙ для «Штрих-М: Магазин 5.2», для работы с маркированным товаром: ТАБАК и товары по штрихкодам ")</f>
        <v xml:space="preserve">Переход на Mobile SMARTS: Магазин 15 с МОТП, РАСШИРЕННЫЙ для «Штрих-М: Магазин 5.2», для работы с маркированным товаром: ТАБАК и товары по штрихкодам </v>
      </c>
      <c r="F372" s="5">
        <f ca="1">IFERROR(__xludf.DUMMYFUNCTION("""COMPUTED_VALUE"""),8725)</f>
        <v>8725</v>
      </c>
    </row>
    <row r="373" spans="1:6" ht="44.25" customHeight="1" x14ac:dyDescent="0.2">
      <c r="A373" s="4" t="str">
        <f ca="1">IFERROR(__xludf.DUMMYFUNCTION("""COMPUTED_VALUE"""),"«Штрих-М: Магазин 5.2»")</f>
        <v>«Штрих-М: Магазин 5.2»</v>
      </c>
      <c r="B373" s="4" t="str">
        <f ca="1">IFERROR(__xludf.DUMMYFUNCTION("""COMPUTED_VALUE"""),"с МОТП, МЕГАМАРКЕТ")</f>
        <v>с МОТП, МЕГАМАРКЕТ</v>
      </c>
      <c r="C373" s="4" t="str">
        <f ca="1">IFERROR(__xludf.DUMMYFUNCTION("""COMPUTED_VALUE"""),"UP2-RTL15CT-SHMSTORE52")</f>
        <v>UP2-RTL15CT-SHMSTORE52</v>
      </c>
      <c r="D373" s="4" t="str">
        <f ca="1">IFERROR(__xludf.DUMMYFUNCTION("""COMPUTED_VALUE"""),"Переход на Mobile SMARTS: Магазин 15 с МОТП, МЕГАМАРКЕТ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поступлени"&amp;"е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коллектив"&amp;"ная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"&amp;"1 (один) год")</f>
        <v>Переход на Mobile SMARTS: Магазин 15 с МОТП, МЕГАМАРКЕТ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3" s="4" t="str">
        <f ca="1">IFERROR(__xludf.DUMMYFUNCTION("""COMPUTED_VALUE"""),"Переход на Mobile SMARTS: Магазин 15 с МОТП, МЕГАМАРКЕТ для «Штрих-М: Магазин 5.2», для работы с маркированным товаром: ТАБАК и товары по штрихкодам ")</f>
        <v xml:space="preserve">Переход на Mobile SMARTS: Магазин 15 с МОТП, МЕГАМАРКЕТ для «Штрих-М: Магазин 5.2», для работы с маркированным товаром: ТАБАК и товары по штрихкодам </v>
      </c>
      <c r="F373" s="5">
        <f ca="1">IFERROR(__xludf.DUMMYFUNCTION("""COMPUTED_VALUE"""),11925)</f>
        <v>11925</v>
      </c>
    </row>
    <row r="374" spans="1:6" ht="44.25" customHeight="1" x14ac:dyDescent="0.2">
      <c r="A374" s="4" t="str">
        <f ca="1">IFERROR(__xludf.DUMMYFUNCTION("""COMPUTED_VALUE"""),"«Штрих-М: Магазин 5.2»")</f>
        <v>«Штрих-М: Магазин 5.2»</v>
      </c>
      <c r="B374" s="4" t="str">
        <f ca="1">IFERROR(__xludf.DUMMYFUNCTION("""COMPUTED_VALUE"""),"с ЕГАИС и МОТП, БАЗОВЫЙ")</f>
        <v>с ЕГАИС и МОТП, БАЗОВЫЙ</v>
      </c>
      <c r="C374" s="4" t="str">
        <f ca="1">IFERROR(__xludf.DUMMYFUNCTION("""COMPUTED_VALUE"""),"UP2-RTL15AET-SHMSTORE52")</f>
        <v>UP2-RTL15AET-SHMSTORE52</v>
      </c>
      <c r="D374" s="4" t="str">
        <f ca="1">IFERROR(__xludf.DUMMYFUNCTION("""COMPUTED_VALUE"""),"Переход на Mobile SMARTS: Магазин 15 с ЕГАИС и МОТП, БАЗОВЫЙ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опера"&amp;"ции: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штр"&amp;"ихкодов,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в"&amp;"озможность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4" s="4" t="str">
        <f ca="1">IFERROR(__xludf.DUMMYFUNCTION("""COMPUTED_VALUE"""),"Переход на Mobile SMARTS: Магазин 15 с ЕГАИС и МОТП, БАЗОВЫЙ для «Штрих-М: Магазин 5.2»,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«Штрих-М: Магазин 5.2», для работы с маркированным товаром: АЛКОГОЛЬ, ТАБАК и товары по штрихкодам </v>
      </c>
      <c r="F374" s="5">
        <f ca="1">IFERROR(__xludf.DUMMYFUNCTION("""COMPUTED_VALUE"""),6075)</f>
        <v>6075</v>
      </c>
    </row>
    <row r="375" spans="1:6" ht="44.25" customHeight="1" x14ac:dyDescent="0.2">
      <c r="A375" s="4" t="str">
        <f ca="1">IFERROR(__xludf.DUMMYFUNCTION("""COMPUTED_VALUE"""),"«Штрих-М: Магазин 5.2»")</f>
        <v>«Штрих-М: Магазин 5.2»</v>
      </c>
      <c r="B375" s="4" t="str">
        <f ca="1">IFERROR(__xludf.DUMMYFUNCTION("""COMPUTED_VALUE"""),"с ЕГАИС и МОТП, РАСШИРЕННЫЙ")</f>
        <v>с ЕГАИС и МОТП, РАСШИРЕННЫЙ</v>
      </c>
      <c r="C375" s="4" t="str">
        <f ca="1">IFERROR(__xludf.DUMMYFUNCTION("""COMPUTED_VALUE"""),"UP2-RTL15BET-SHMSTORE52")</f>
        <v>UP2-RTL15BET-SHMSTORE52</v>
      </c>
      <c r="D375" s="4" t="str">
        <f ca="1">IFERROR(__xludf.DUMMYFUNCTION("""COMPUTED_VALUE"""),"Переход на Mobile SMARTS: Магазин 15 с ЕГАИС и МОТП, РАСШИРЕННЫЙ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о"&amp;"перации: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операций"&amp;"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5" s="4" t="str">
        <f ca="1">IFERROR(__xludf.DUMMYFUNCTION("""COMPUTED_VALUE"""),"Переход на Mobile SMARTS: Магазин 15 с ЕГАИС и МОТП, РАСШИРЕННЫЙ для «Штрих-М: Магазин 5.2»,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«Штрих-М: Магазин 5.2», для работы с маркированным товаром: АЛКОГОЛЬ, ТАБАК и товары по штрихкодам </v>
      </c>
      <c r="F375" s="5">
        <f ca="1">IFERROR(__xludf.DUMMYFUNCTION("""COMPUTED_VALUE"""),9275)</f>
        <v>9275</v>
      </c>
    </row>
    <row r="376" spans="1:6" ht="44.25" customHeight="1" x14ac:dyDescent="0.2">
      <c r="A376" s="4" t="str">
        <f ca="1">IFERROR(__xludf.DUMMYFUNCTION("""COMPUTED_VALUE"""),"«Штрих-М: Магазин 5.2»")</f>
        <v>«Штрих-М: Магазин 5.2»</v>
      </c>
      <c r="B376" s="4" t="str">
        <f ca="1">IFERROR(__xludf.DUMMYFUNCTION("""COMPUTED_VALUE"""),"с ЕГАИС и МОТП, МЕГАМАРКЕТ")</f>
        <v>с ЕГАИС и МОТП, МЕГАМАРКЕТ</v>
      </c>
      <c r="C376" s="4" t="str">
        <f ca="1">IFERROR(__xludf.DUMMYFUNCTION("""COMPUTED_VALUE"""),"UP2-RTL15CET-SHMSTORE52")</f>
        <v>UP2-RTL15CET-SHMSTORE52</v>
      </c>
      <c r="D376" s="4" t="str">
        <f ca="1">IFERROR(__xludf.DUMMYFUNCTION("""COMPUTED_VALUE"""),"Переход на Mobile SMARTS: Магазин 15 с ЕГАИС и МОТП, МЕГАМАРКЕТ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оп"&amp;"ерации: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"&amp;"штрихкодов,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6" s="4" t="str">
        <f ca="1">IFERROR(__xludf.DUMMYFUNCTION("""COMPUTED_VALUE"""),"Переход на Mobile SMARTS: Магазин 15 с ЕГАИС и МОТП, МЕГАМАРКЕТ для «Штрих-М: Магазин 5.2»,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«Штрих-М: Магазин 5.2», для работы с маркированным товаром: АЛКОГОЛЬ, ТАБАК и товары по штрихкодам </v>
      </c>
      <c r="F376" s="5">
        <f ca="1">IFERROR(__xludf.DUMMYFUNCTION("""COMPUTED_VALUE"""),13175)</f>
        <v>13175</v>
      </c>
    </row>
    <row r="377" spans="1:6" ht="44.25" customHeight="1" x14ac:dyDescent="0.2">
      <c r="A377" s="4" t="str">
        <f ca="1">IFERROR(__xludf.DUMMYFUNCTION("""COMPUTED_VALUE"""),"«Штрих-М: Магазин 5.2»")</f>
        <v>«Штрих-М: Магазин 5.2»</v>
      </c>
      <c r="B377" s="4" t="str">
        <f ca="1">IFERROR(__xludf.DUMMYFUNCTION("""COMPUTED_VALUE"""),"ШМОТКИ, БАЗОВЫЙ")</f>
        <v>ШМОТКИ, БАЗОВЫЙ</v>
      </c>
      <c r="C377" s="4" t="str">
        <f ca="1">IFERROR(__xludf.DUMMYFUNCTION("""COMPUTED_VALUE"""),"UP2-RTL15AK-SHMSTORE52")</f>
        <v>UP2-RTL15AK-SHMSTORE52</v>
      </c>
      <c r="D377" s="4" t="str">
        <f ca="1">IFERROR(__xludf.DUMMYFUNCTION("""COMPUTED_VALUE"""),"Переход на Mobile SMARTS: Магазин 15 ШМОТКИ, БАЗОВЫЙ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Переход на Mobile SMARTS: Магазин 15 ШМОТКИ, БАЗОВЫЙ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7" s="4" t="str">
        <f ca="1">IFERROR(__xludf.DUMMYFUNCTION("""COMPUTED_VALUE"""),"Переход на Mobile SMARTS: Магазин 15 ШМОТКИ, БАЗОВЫЙ для «Штрих-М: Магазин 5.2»,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«Штрих-М: Магазин 5.2», для работы с маркированным товаром: ОБУВЬ, ОДЕЖДА, ПАРФЮМ, ШИНЫ и товары по штрихкодам </v>
      </c>
      <c r="F377" s="5">
        <f ca="1">IFERROR(__xludf.DUMMYFUNCTION("""COMPUTED_VALUE"""),6075)</f>
        <v>6075</v>
      </c>
    </row>
    <row r="378" spans="1:6" ht="44.25" customHeight="1" x14ac:dyDescent="0.2">
      <c r="A378" s="4" t="str">
        <f ca="1">IFERROR(__xludf.DUMMYFUNCTION("""COMPUTED_VALUE"""),"«Штрих-М: Магазин 5.2»")</f>
        <v>«Штрих-М: Магазин 5.2»</v>
      </c>
      <c r="B378" s="4" t="str">
        <f ca="1">IFERROR(__xludf.DUMMYFUNCTION("""COMPUTED_VALUE"""),"ШМОТКИ, РАСШИРЕННЫЙ")</f>
        <v>ШМОТКИ, РАСШИРЕННЫЙ</v>
      </c>
      <c r="C378" s="4" t="str">
        <f ca="1">IFERROR(__xludf.DUMMYFUNCTION("""COMPUTED_VALUE"""),"UP2-RTL15BK-SHMSTORE52")</f>
        <v>UP2-RTL15BK-SHMSTORE52</v>
      </c>
      <c r="D378" s="4" t="str">
        <f ca="1">IFERROR(__xludf.DUMMYFUNCTION("""COMPUTED_VALUE"""),"Переход на Mobile SMARTS: Магазин 15 ШМОТКИ, РАСШИРЕННЫЙ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доступн"&amp;"ые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/"&amp;"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н"&amp;"а 1 (один) год")</f>
        <v>Переход на Mobile SMARTS: Магазин 15 ШМОТКИ, РАСШИРЕННЫЙ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8" s="4" t="str">
        <f ca="1">IFERROR(__xludf.DUMMYFUNCTION("""COMPUTED_VALUE"""),"Переход на Mobile SMARTS: Магазин 15 ШМОТКИ, РАСШИРЕННЫЙ для «Штрих-М: Магазин 5.2»,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«Штрих-М: Магазин 5.2», для работы с маркированным товаром: ОБУВЬ, ОДЕЖДА, ПАРФЮМ, ШИНЫ и товары по штрихкодам </v>
      </c>
      <c r="F378" s="5">
        <f ca="1">IFERROR(__xludf.DUMMYFUNCTION("""COMPUTED_VALUE"""),9275)</f>
        <v>9275</v>
      </c>
    </row>
    <row r="379" spans="1:6" ht="44.25" customHeight="1" x14ac:dyDescent="0.2">
      <c r="A379" s="4" t="str">
        <f ca="1">IFERROR(__xludf.DUMMYFUNCTION("""COMPUTED_VALUE"""),"«Штрих-М: Магазин 5.2»")</f>
        <v>«Штрих-М: Магазин 5.2»</v>
      </c>
      <c r="B379" s="4" t="str">
        <f ca="1">IFERROR(__xludf.DUMMYFUNCTION("""COMPUTED_VALUE"""),"ШМОТКИ, МЕГАМАРКЕТ")</f>
        <v>ШМОТКИ, МЕГАМАРКЕТ</v>
      </c>
      <c r="C379" s="4" t="str">
        <f ca="1">IFERROR(__xludf.DUMMYFUNCTION("""COMPUTED_VALUE"""),"UP2-RTL15CK-SHMSTORE52")</f>
        <v>UP2-RTL15CK-SHMSTORE52</v>
      </c>
      <c r="D379" s="4" t="str">
        <f ca="1">IFERROR(__xludf.DUMMYFUNCTION("""COMPUTED_VALUE"""),"Переход на Mobile SMARTS: Магазин 15 ШМОТКИ, МЕГАМАРКЕТ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доступны"&amp;"е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"&amp;"возможности: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об"&amp;"мен через Интернет на 1 (один) год")</f>
        <v>Переход на Mobile SMARTS: Магазин 15 ШМОТКИ, МЕГАМАРКЕТ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9" s="4" t="str">
        <f ca="1">IFERROR(__xludf.DUMMYFUNCTION("""COMPUTED_VALUE"""),"Переход на Mobile SMARTS: Магазин 15 ШМОТКИ, МЕГАМАРКЕТ для «Штрих-М: Магазин 5.2»,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«Штрих-М: Магазин 5.2», для работы с маркированным товаром: ОБУВЬ, ОДЕЖДА, ПАРФЮМ, ШИНЫ и товары по штрихкодам </v>
      </c>
      <c r="F379" s="5">
        <f ca="1">IFERROR(__xludf.DUMMYFUNCTION("""COMPUTED_VALUE"""),13175)</f>
        <v>13175</v>
      </c>
    </row>
    <row r="380" spans="1:6" ht="44.25" customHeight="1" x14ac:dyDescent="0.2">
      <c r="A380" s="4" t="str">
        <f ca="1">IFERROR(__xludf.DUMMYFUNCTION("""COMPUTED_VALUE"""),"«Штрих-М: Магазин 5.2»")</f>
        <v>«Штрих-М: Магазин 5.2»</v>
      </c>
      <c r="B380" s="4" t="str">
        <f ca="1">IFERROR(__xludf.DUMMYFUNCTION("""COMPUTED_VALUE"""),"ПРОДУКТОВЫЙ, БАЗОВЫЙ")</f>
        <v>ПРОДУКТОВЫЙ, БАЗОВЫЙ</v>
      </c>
      <c r="C380" s="4" t="str">
        <f ca="1">IFERROR(__xludf.DUMMYFUNCTION("""COMPUTED_VALUE"""),"UP2-RTL15AG-SHMSTORE52")</f>
        <v>UP2-RTL15AG-SHMSTORE52</v>
      </c>
      <c r="D380" s="4" t="str">
        <f ca="1">IFERROR(__xludf.DUMMYFUNCTION("""COMPUTED_VALUE"""),"Переход на 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ч"&amp;"ерез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("&amp;"в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на"&amp;"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0" s="4" t="str">
        <f ca="1">IFERROR(__xludf.DUMMYFUNCTION("""COMPUTED_VALUE"""),"Переход на 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</v>
      </c>
      <c r="F380" s="5">
        <f ca="1">IFERROR(__xludf.DUMMYFUNCTION("""COMPUTED_VALUE"""),7275)</f>
        <v>7275</v>
      </c>
    </row>
    <row r="381" spans="1:6" ht="44.25" customHeight="1" x14ac:dyDescent="0.2">
      <c r="A381" s="4" t="str">
        <f ca="1">IFERROR(__xludf.DUMMYFUNCTION("""COMPUTED_VALUE"""),"«Штрих-М: Магазин 5.2»")</f>
        <v>«Штрих-М: Магазин 5.2»</v>
      </c>
      <c r="B381" s="4" t="str">
        <f ca="1">IFERROR(__xludf.DUMMYFUNCTION("""COMPUTED_VALUE"""),"ПРОДУКТОВЫЙ, РАСШИРЕННЫЙ")</f>
        <v>ПРОДУКТОВЫЙ, РАСШИРЕННЫЙ</v>
      </c>
      <c r="C381" s="4" t="str">
        <f ca="1">IFERROR(__xludf.DUMMYFUNCTION("""COMPUTED_VALUE"""),"UP2-RTL15BG-SHMSTORE52")</f>
        <v>UP2-RTL15BG-SHMSTORE52</v>
      </c>
      <c r="D381" s="4" t="str">
        <f ca="1">IFERROR(__xludf.DUMMYFUNCTION("""COMPUTED_VALUE"""),"Переход на 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зака"&amp;"за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1" s="4" t="str">
        <f ca="1">IFERROR(__xludf.DUMMYFUNCTION("""COMPUTED_VALUE"""),"Переход на 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</v>
      </c>
      <c r="F381" s="5">
        <f ca="1">IFERROR(__xludf.DUMMYFUNCTION("""COMPUTED_VALUE"""),10475)</f>
        <v>10475</v>
      </c>
    </row>
    <row r="382" spans="1:6" ht="44.25" customHeight="1" x14ac:dyDescent="0.2">
      <c r="A382" s="4" t="str">
        <f ca="1">IFERROR(__xludf.DUMMYFUNCTION("""COMPUTED_VALUE"""),"«Штрих-М: Магазин 5.2»")</f>
        <v>«Штрих-М: Магазин 5.2»</v>
      </c>
      <c r="B382" s="4" t="str">
        <f ca="1">IFERROR(__xludf.DUMMYFUNCTION("""COMPUTED_VALUE"""),"ПРОДУКТОВЫЙ, МЕГАМАРКЕТ")</f>
        <v>ПРОДУКТОВЫЙ, МЕГАМАРКЕТ</v>
      </c>
      <c r="C382" s="4" t="str">
        <f ca="1">IFERROR(__xludf.DUMMYFUNCTION("""COMPUTED_VALUE"""),"UP2-RTL15CG-SHMSTORE52")</f>
        <v>UP2-RTL15CG-SHMSTORE52</v>
      </c>
      <c r="D382" s="4" t="str">
        <f ca="1">IFERROR(__xludf.DUMMYFUNCTION("""COMPUTED_VALUE"""),"Переход на 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обме"&amp;"н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заказ"&amp;"а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контраген"&amp;"тах,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2" s="4" t="str">
        <f ca="1">IFERROR(__xludf.DUMMYFUNCTION("""COMPUTED_VALUE"""),"Переход на 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</v>
      </c>
      <c r="F382" s="5">
        <f ca="1">IFERROR(__xludf.DUMMYFUNCTION("""COMPUTED_VALUE"""),14125)</f>
        <v>14125</v>
      </c>
    </row>
    <row r="383" spans="1:6" ht="44.25" customHeight="1" x14ac:dyDescent="0.2">
      <c r="A383" s="4" t="str">
        <f ca="1">IFERROR(__xludf.DUMMYFUNCTION("""COMPUTED_VALUE"""),"«Штрих-М: Розничная сеть 5.2»")</f>
        <v>«Штрих-М: Розничная сеть 5.2»</v>
      </c>
      <c r="B383" s="4" t="str">
        <f ca="1">IFERROR(__xludf.DUMMYFUNCTION("""COMPUTED_VALUE"""),"МИНИМУМ")</f>
        <v>МИНИМУМ</v>
      </c>
      <c r="C383" s="4" t="str">
        <f ca="1">IFERROR(__xludf.DUMMYFUNCTION("""COMPUTED_VALUE"""),"UP2-RTL15M-SHMSTOREC52")</f>
        <v>UP2-RTL15M-SHMSTOREC52</v>
      </c>
      <c r="D383" s="4" t="str">
        <f ca="1">IFERROR(__xludf.DUMMYFUNCTION("""COMPUTED_VALUE"""),"Переход на Mobile SMARTS: Магазин 15, МИНИМУМ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т"&amp;"оваров,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"&amp;"1 (один) год")</f>
        <v>Переход на Mobile SMARTS: Магазин 15, МИНИМУМ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83" s="4" t="str">
        <f ca="1">IFERROR(__xludf.DUMMYFUNCTION("""COMPUTED_VALUE"""),"Переход на Mobile SMARTS: Магазин 15, МИНИМУМ для «Штрих-М: Розничная сеть 5.2», для работы с товаром по штрихкодам ")</f>
        <v xml:space="preserve">Переход на Mobile SMARTS: Магазин 15, МИНИМУМ для «Штрих-М: Розничная сеть 5.2», для работы с товаром по штрихкодам </v>
      </c>
      <c r="F383" s="5">
        <f ca="1">IFERROR(__xludf.DUMMYFUNCTION("""COMPUTED_VALUE"""),1725)</f>
        <v>1725</v>
      </c>
    </row>
    <row r="384" spans="1:6" ht="44.25" customHeight="1" x14ac:dyDescent="0.2">
      <c r="A384" s="4" t="str">
        <f ca="1">IFERROR(__xludf.DUMMYFUNCTION("""COMPUTED_VALUE"""),"«Штрих-М: Розничная сеть 5.2»")</f>
        <v>«Штрих-М: Розничная сеть 5.2»</v>
      </c>
      <c r="B384" s="4" t="str">
        <f ca="1">IFERROR(__xludf.DUMMYFUNCTION("""COMPUTED_VALUE"""),"БАЗОВЫЙ")</f>
        <v>БАЗОВЫЙ</v>
      </c>
      <c r="C384" s="4" t="str">
        <f ca="1">IFERROR(__xludf.DUMMYFUNCTION("""COMPUTED_VALUE"""),"UP2-RTL15A-SHMSTOREC52")</f>
        <v>UP2-RTL15A-SHMSTOREC52</v>
      </c>
      <c r="D384" s="4" t="str">
        <f ca="1">IFERROR(__xludf.DUMMYFUNCTION("""COMPUTED_VALUE"""),"Переход на Mobile SMARTS: Магазин 15, БАЗОВЫЙ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"&amp;"т.ч.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сущ"&amp;"ествующих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4" s="4" t="str">
        <f ca="1">IFERROR(__xludf.DUMMYFUNCTION("""COMPUTED_VALUE"""),"Переход на Mobile SMARTS: Магазин 15, БАЗОВЫЙ для «Штрих-М: Розничная сеть 5.2», для работы с товаром по штрихкодам ")</f>
        <v xml:space="preserve">Переход на Mobile SMARTS: Магазин 15, БАЗОВЫЙ для «Штрих-М: Розничная сеть 5.2», для работы с товаром по штрихкодам </v>
      </c>
      <c r="F384" s="5">
        <f ca="1">IFERROR(__xludf.DUMMYFUNCTION("""COMPUTED_VALUE"""),4325)</f>
        <v>4325</v>
      </c>
    </row>
    <row r="385" spans="1:6" ht="44.25" customHeight="1" x14ac:dyDescent="0.2">
      <c r="A385" s="4" t="str">
        <f ca="1">IFERROR(__xludf.DUMMYFUNCTION("""COMPUTED_VALUE"""),"«Штрих-М: Розничная сеть 5.2»")</f>
        <v>«Штрих-М: Розничная сеть 5.2»</v>
      </c>
      <c r="B385" s="4" t="str">
        <f ca="1">IFERROR(__xludf.DUMMYFUNCTION("""COMPUTED_VALUE"""),"РАСШИРЕННЫЙ")</f>
        <v>РАСШИРЕННЫЙ</v>
      </c>
      <c r="C385" s="4" t="str">
        <f ca="1">IFERROR(__xludf.DUMMYFUNCTION("""COMPUTED_VALUE"""),"UP2-RTL15B-SHMSTOREC52")</f>
        <v>UP2-RTL15B-SHMSTOREC52</v>
      </c>
      <c r="D385" s="4" t="str">
        <f ca="1">IFERROR(__xludf.DUMMYFUNCTION("""COMPUTED_VALUE"""),"Переход на Mobile SMARTS: Магазин 15, РАСШИРЕННЫЙ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переоценка"&amp;"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изменение"&amp;"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5" s="4" t="str">
        <f ca="1">IFERROR(__xludf.DUMMYFUNCTION("""COMPUTED_VALUE"""),"Переход на Mobile SMARTS: Магазин 15, РАСШИРЕННЫЙ для «Штрих-М: Розничная сеть 5.2», для работы с товаром по штрихкодам ")</f>
        <v xml:space="preserve">Переход на Mobile SMARTS: Магазин 15, РАСШИРЕННЫЙ для «Штрих-М: Розничная сеть 5.2», для работы с товаром по штрихкодам </v>
      </c>
      <c r="F385" s="5">
        <f ca="1">IFERROR(__xludf.DUMMYFUNCTION("""COMPUTED_VALUE"""),7525)</f>
        <v>7525</v>
      </c>
    </row>
    <row r="386" spans="1:6" ht="44.25" customHeight="1" x14ac:dyDescent="0.2">
      <c r="A386" s="4" t="str">
        <f ca="1">IFERROR(__xludf.DUMMYFUNCTION("""COMPUTED_VALUE"""),"«Штрих-М: Розничная сеть 5.2»")</f>
        <v>«Штрих-М: Розничная сеть 5.2»</v>
      </c>
      <c r="B386" s="4" t="str">
        <f ca="1">IFERROR(__xludf.DUMMYFUNCTION("""COMPUTED_VALUE"""),"МЕГАМАРКЕТ")</f>
        <v>МЕГАМАРКЕТ</v>
      </c>
      <c r="C386" s="4" t="str">
        <f ca="1">IFERROR(__xludf.DUMMYFUNCTION("""COMPUTED_VALUE"""),"UP2-RTL15C-SHMSTOREC52")</f>
        <v>UP2-RTL15C-SHMSTOREC52</v>
      </c>
      <c r="D386" s="4" t="str">
        <f ca="1">IFERROR(__xludf.DUMMYFUNCTION("""COMPUTED_VALUE"""),"Переход на Mobile SMARTS: Магазин 15, МЕГАМАРКЕТ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"&amp;"(в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6" s="4" t="str">
        <f ca="1">IFERROR(__xludf.DUMMYFUNCTION("""COMPUTED_VALUE"""),"Переход на Mobile SMARTS: Магазин 15, МЕГАМАРКЕТ для «Штрих-М: Розничная сеть 5.2», для работы с товаром по штрихкодам ")</f>
        <v xml:space="preserve">Переход на Mobile SMARTS: Магазин 15, МЕГАМАРКЕТ для «Штрих-М: Розничная сеть 5.2», для работы с товаром по штрихкодам </v>
      </c>
      <c r="F386" s="5">
        <f ca="1">IFERROR(__xludf.DUMMYFUNCTION("""COMPUTED_VALUE"""),10775)</f>
        <v>10775</v>
      </c>
    </row>
    <row r="387" spans="1:6" ht="44.25" customHeight="1" x14ac:dyDescent="0.2">
      <c r="A387" s="4" t="str">
        <f ca="1">IFERROR(__xludf.DUMMYFUNCTION("""COMPUTED_VALUE"""),"«Штрих-М: Розничная сеть 5.2»")</f>
        <v>«Штрих-М: Розничная сеть 5.2»</v>
      </c>
      <c r="B387" s="4" t="str">
        <f ca="1">IFERROR(__xludf.DUMMYFUNCTION("""COMPUTED_VALUE"""),"с ЕГАИС, БАЗОВЫЙ")</f>
        <v>с ЕГАИС, БАЗОВЫЙ</v>
      </c>
      <c r="C387" s="4" t="str">
        <f ca="1">IFERROR(__xludf.DUMMYFUNCTION("""COMPUTED_VALUE"""),"UP2-RTL15AE-SHMSTOREC52")</f>
        <v>UP2-RTL15AE-SHMSTOREC52</v>
      </c>
      <c r="D387" s="4" t="str">
        <f ca="1">IFERROR(__xludf.DUMMYFUNCTION("""COMPUTED_VALUE"""),"Переход на Mobile SMARTS: Магазин 15 с ЕГАИС, БАЗОВЫЙ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операц"&amp;"ии: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и"&amp;"нформация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87" s="4" t="str">
        <f ca="1">IFERROR(__xludf.DUMMYFUNCTION("""COMPUTED_VALUE"""),"Переход на Mobile SMARTS: Магазин 15 с ЕГАИС, БАЗОВЫЙ для «Штрих-М: Розничная сеть 5.2», для работы с маркированным товаром: алкоголь ЕГАИС и товары по штрихкодам ")</f>
        <v xml:space="preserve">Переход на Mobile SMARTS: Магазин 15 с ЕГАИС, БАЗОВЫЙ для «Штрих-М: Розничная сеть 5.2», для работы с маркированным товаром: алкоголь ЕГАИС и товары по штрихкодам </v>
      </c>
      <c r="F387" s="5">
        <f ca="1">IFERROR(__xludf.DUMMYFUNCTION("""COMPUTED_VALUE"""),5500)</f>
        <v>5500</v>
      </c>
    </row>
    <row r="388" spans="1:6" ht="44.25" customHeight="1" x14ac:dyDescent="0.2">
      <c r="A388" s="4" t="str">
        <f ca="1">IFERROR(__xludf.DUMMYFUNCTION("""COMPUTED_VALUE"""),"«Штрих-М: Розничная сеть 5.2»")</f>
        <v>«Штрих-М: Розничная сеть 5.2»</v>
      </c>
      <c r="B388" s="4" t="str">
        <f ca="1">IFERROR(__xludf.DUMMYFUNCTION("""COMPUTED_VALUE"""),"с ЕГАИС, РАСШИРЕННЫЙ")</f>
        <v>с ЕГАИС, РАСШИРЕННЫЙ</v>
      </c>
      <c r="C388" s="4" t="str">
        <f ca="1">IFERROR(__xludf.DUMMYFUNCTION("""COMPUTED_VALUE"""),"UP2-RTL15BE-SHMSTOREC52")</f>
        <v>UP2-RTL15BE-SHMSTOREC52</v>
      </c>
      <c r="D388" s="4" t="str">
        <f ca="1">IFERROR(__xludf.DUMMYFUNCTION("""COMPUTED_VALUE"""),"Переход на Mobile SMARTS: Магазин 15 с ЕГАИС, РАСШИРЕННЫЙ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оп"&amp;"ерации: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принте"&amp;"р,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"&amp;"год")</f>
        <v>Переход на Mobile SMARTS: Магазин 15 с ЕГАИС, РАСШИРЕННЫЙ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8" s="4" t="str">
        <f ca="1">IFERROR(__xludf.DUMMYFUNCTION("""COMPUTED_VALUE"""),"Переход на Mobile SMARTS: Магазин 15 с ЕГАИС, РАСШИРЕННЫЙ для «Штрих-М: Розничная сеть 5.2», для работы с маркированным товаром: алкоголь ЕГАИС и товары по штрихкодам ")</f>
        <v xml:space="preserve">Переход на Mobile SMARTS: Магазин 15 с ЕГАИС, РАСШИРЕННЫЙ для «Штрих-М: Розничная сеть 5.2», для работы с маркированным товаром: алкоголь ЕГАИС и товары по штрихкодам </v>
      </c>
      <c r="F388" s="5">
        <f ca="1">IFERROR(__xludf.DUMMYFUNCTION("""COMPUTED_VALUE"""),8725)</f>
        <v>8725</v>
      </c>
    </row>
    <row r="389" spans="1:6" ht="44.25" customHeight="1" x14ac:dyDescent="0.2">
      <c r="A389" s="4" t="str">
        <f ca="1">IFERROR(__xludf.DUMMYFUNCTION("""COMPUTED_VALUE"""),"«Штрих-М: Розничная сеть 5.2»")</f>
        <v>«Штрих-М: Розничная сеть 5.2»</v>
      </c>
      <c r="B389" s="4" t="str">
        <f ca="1">IFERROR(__xludf.DUMMYFUNCTION("""COMPUTED_VALUE"""),"с ЕГАИС (без CheckMark2), МЕГАМАРКЕТ")</f>
        <v>с ЕГАИС (без CheckMark2), МЕГАМАРКЕТ</v>
      </c>
      <c r="C389" s="4" t="str">
        <f ca="1">IFERROR(__xludf.DUMMYFUNCTION("""COMPUTED_VALUE"""),"UP2-RTL15CEV-SHMSTOREC52")</f>
        <v>UP2-RTL15CEV-SHMSTOREC52</v>
      </c>
      <c r="D389" s="4" t="str">
        <f ca="1">IFERROR(__xludf.DUMMYFUNCTION("""COMPUTED_VALUE"""),"Переход на 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ОНЛАЙ"&amp;"Н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коллективн"&amp;"ая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обновления"&amp;" и обмен через Интернет на 1 (один) год")</f>
        <v>Переход на 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9" s="4" t="str">
        <f ca="1">IFERROR(__xludf.DUMMYFUNCTION("""COMPUTED_VALUE"""),"Переход на 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</v>
      </c>
      <c r="F389" s="5">
        <f ca="1">IFERROR(__xludf.DUMMYFUNCTION("""COMPUTED_VALUE"""),11925)</f>
        <v>11925</v>
      </c>
    </row>
    <row r="390" spans="1:6" ht="44.25" customHeight="1" x14ac:dyDescent="0.2">
      <c r="A390" s="4" t="str">
        <f ca="1">IFERROR(__xludf.DUMMYFUNCTION("""COMPUTED_VALUE"""),"«Штрих-М: Розничная сеть 5.2»")</f>
        <v>«Штрих-М: Розничная сеть 5.2»</v>
      </c>
      <c r="B390" s="4" t="str">
        <f ca="1">IFERROR(__xludf.DUMMYFUNCTION("""COMPUTED_VALUE"""),"с МОТП, БАЗОВЫЙ")</f>
        <v>с МОТП, БАЗОВЫЙ</v>
      </c>
      <c r="C390" s="4" t="str">
        <f ca="1">IFERROR(__xludf.DUMMYFUNCTION("""COMPUTED_VALUE"""),"UP2-RTL15AT-SHMSTOREC52")</f>
        <v>UP2-RTL15AT-SHMSTOREC52</v>
      </c>
      <c r="D390" s="4" t="str">
        <f ca="1">IFERROR(__xludf.DUMMYFUNCTION("""COMPUTED_VALUE"""),"Переход на Mobile SMARTS: Магазин 15 с МОТП, БАЗОВЫЙ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поступ"&amp;"ление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0" s="4" t="str">
        <f ca="1">IFERROR(__xludf.DUMMYFUNCTION("""COMPUTED_VALUE"""),"Переход на Mobile SMARTS: Магазин 15 с МОТП, БАЗОВЫЙ для «Штрих-М: Розничная сеть 5.2», для работы с маркированным товаром: ТАБАК и товары по штрихкодам ")</f>
        <v xml:space="preserve">Переход на Mobile SMARTS: Магазин 15 с МОТП, БАЗОВЫЙ для «Штрих-М: Розничная сеть 5.2», для работы с маркированным товаром: ТАБАК и товары по штрихкодам </v>
      </c>
      <c r="F390" s="5">
        <f ca="1">IFERROR(__xludf.DUMMYFUNCTION("""COMPUTED_VALUE"""),5575)</f>
        <v>5575</v>
      </c>
    </row>
    <row r="391" spans="1:6" ht="44.25" customHeight="1" x14ac:dyDescent="0.2">
      <c r="A391" s="4" t="str">
        <f ca="1">IFERROR(__xludf.DUMMYFUNCTION("""COMPUTED_VALUE"""),"«Штрих-М: Розничная сеть 5.2»")</f>
        <v>«Штрих-М: Розничная сеть 5.2»</v>
      </c>
      <c r="B391" s="4" t="str">
        <f ca="1">IFERROR(__xludf.DUMMYFUNCTION("""COMPUTED_VALUE"""),"с МОТП, РАСШИРЕННЫЙ")</f>
        <v>с МОТП, РАСШИРЕННЫЙ</v>
      </c>
      <c r="C391" s="4" t="str">
        <f ca="1">IFERROR(__xludf.DUMMYFUNCTION("""COMPUTED_VALUE"""),"UP2-RTL15BT-SHMSTOREC52")</f>
        <v>UP2-RTL15BT-SHMSTOREC52</v>
      </c>
      <c r="D391" s="4" t="str">
        <f ca="1">IFERROR(__xludf.DUMMYFUNCTION("""COMPUTED_VALUE"""),"Переход на Mobile SMARTS: Магазин 15 с МОТП, РАСШИРЕННЫЙ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по"&amp;"ступление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и"&amp;"нформация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РАСШИРЕННЫЙ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1" s="4" t="str">
        <f ca="1">IFERROR(__xludf.DUMMYFUNCTION("""COMPUTED_VALUE"""),"Переход на Mobile SMARTS: Магазин 15 с МОТП, РАСШИРЕННЫЙ для «Штрих-М: Розничная сеть 5.2», для работы с маркированным товаром: ТАБАК и товары по штрихкодам ")</f>
        <v xml:space="preserve">Переход на Mobile SMARTS: Магазин 15 с МОТП, РАСШИРЕННЫЙ для «Штрих-М: Розничная сеть 5.2», для работы с маркированным товаром: ТАБАК и товары по штрихкодам </v>
      </c>
      <c r="F391" s="5">
        <f ca="1">IFERROR(__xludf.DUMMYFUNCTION("""COMPUTED_VALUE"""),8725)</f>
        <v>8725</v>
      </c>
    </row>
    <row r="392" spans="1:6" ht="44.25" customHeight="1" x14ac:dyDescent="0.2">
      <c r="A392" s="4" t="str">
        <f ca="1">IFERROR(__xludf.DUMMYFUNCTION("""COMPUTED_VALUE"""),"«Штрих-М: Розничная сеть 5.2»")</f>
        <v>«Штрих-М: Розничная сеть 5.2»</v>
      </c>
      <c r="B392" s="4" t="str">
        <f ca="1">IFERROR(__xludf.DUMMYFUNCTION("""COMPUTED_VALUE"""),"с МОТП, МЕГАМАРКЕТ")</f>
        <v>с МОТП, МЕГАМАРКЕТ</v>
      </c>
      <c r="C392" s="4" t="str">
        <f ca="1">IFERROR(__xludf.DUMMYFUNCTION("""COMPUTED_VALUE"""),"UP2-RTL15CT-SHMSTOREC52")</f>
        <v>UP2-RTL15CT-SHMSTOREC52</v>
      </c>
      <c r="D392" s="4" t="str">
        <f ca="1">IFERROR(__xludf.DUMMYFUNCTION("""COMPUTED_VALUE"""),"Переход на Mobile SMARTS: Магазин 15 с МОТП, МЕГАМАРКЕТ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пос"&amp;"тупление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ко"&amp;"ллективная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Переход на Mobile SMARTS: Магазин 15 с МОТП, МЕГАМАРКЕТ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2" s="4" t="str">
        <f ca="1">IFERROR(__xludf.DUMMYFUNCTION("""COMPUTED_VALUE"""),"Переход на Mobile SMARTS: Магазин 15 с МОТП, МЕГАМАРКЕТ для «Штрих-М: Розничная сеть 5.2», для работы с маркированным товаром: ТАБАК и товары по штрихкодам ")</f>
        <v xml:space="preserve">Переход на Mobile SMARTS: Магазин 15 с МОТП, МЕГАМАРКЕТ для «Штрих-М: Розничная сеть 5.2», для работы с маркированным товаром: ТАБАК и товары по штрихкодам </v>
      </c>
      <c r="F392" s="5">
        <f ca="1">IFERROR(__xludf.DUMMYFUNCTION("""COMPUTED_VALUE"""),11925)</f>
        <v>11925</v>
      </c>
    </row>
    <row r="393" spans="1:6" ht="44.25" customHeight="1" x14ac:dyDescent="0.2">
      <c r="A393" s="4" t="str">
        <f ca="1">IFERROR(__xludf.DUMMYFUNCTION("""COMPUTED_VALUE"""),"«Штрих-М: Розничная сеть 5.2»")</f>
        <v>«Штрих-М: Розничная сеть 5.2»</v>
      </c>
      <c r="B393" s="4" t="str">
        <f ca="1">IFERROR(__xludf.DUMMYFUNCTION("""COMPUTED_VALUE"""),"с ЕГАИС и МОТП, БАЗОВЫЙ")</f>
        <v>с ЕГАИС и МОТП, БАЗОВЫЙ</v>
      </c>
      <c r="C393" s="4" t="str">
        <f ca="1">IFERROR(__xludf.DUMMYFUNCTION("""COMPUTED_VALUE"""),"UP2-RTL15AET-SHMSTOREC52")</f>
        <v>UP2-RTL15AET-SHMSTOREC52</v>
      </c>
      <c r="D393" s="4" t="str">
        <f ca="1">IFERROR(__xludf.DUMMYFUNCTION("""COMPUTED_VALUE"""),"Переход на Mobile SMARTS: Магазин 15 с ЕГАИС и МОТП, БАЗОВЫЙ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доступны"&amp;"е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опера"&amp;"ций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3" s="4" t="str">
        <f ca="1">IFERROR(__xludf.DUMMYFUNCTION("""COMPUTED_VALUE"""),"Переход на Mobile SMARTS: Магазин 15 с ЕГАИС и МОТП, БАЗОВЫЙ для «Штрих-М: Розничная сеть 5.2»,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«Штрих-М: Розничная сеть 5.2», для работы с маркированным товаром: АЛКОГОЛЬ, ТАБАК и товары по штрихкодам </v>
      </c>
      <c r="F393" s="5">
        <f ca="1">IFERROR(__xludf.DUMMYFUNCTION("""COMPUTED_VALUE"""),6075)</f>
        <v>6075</v>
      </c>
    </row>
    <row r="394" spans="1:6" ht="44.25" customHeight="1" x14ac:dyDescent="0.2">
      <c r="A394" s="4" t="str">
        <f ca="1">IFERROR(__xludf.DUMMYFUNCTION("""COMPUTED_VALUE"""),"«Штрих-М: Розничная сеть 5.2»")</f>
        <v>«Штрих-М: Розничная сеть 5.2»</v>
      </c>
      <c r="B394" s="4" t="str">
        <f ca="1">IFERROR(__xludf.DUMMYFUNCTION("""COMPUTED_VALUE"""),"с ЕГАИС и МОТП, РАСШИРЕННЫЙ")</f>
        <v>с ЕГАИС и МОТП, РАСШИРЕННЫЙ</v>
      </c>
      <c r="C394" s="4" t="str">
        <f ca="1">IFERROR(__xludf.DUMMYFUNCTION("""COMPUTED_VALUE"""),"UP2-RTL15BET-SHMSTOREC52")</f>
        <v>UP2-RTL15BET-SHMSTOREC52</v>
      </c>
      <c r="D394" s="4" t="str">
        <f ca="1">IFERROR(__xludf.DUMMYFUNCTION("""COMPUTED_VALUE"""),"Переход на Mobile SMARTS: Магазин 15 с ЕГАИС и МОТП, РАСШИРЕННЫЙ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дост"&amp;"упные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перемещени"&amp;"е,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о"&amp;"пераций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4" s="4" t="str">
        <f ca="1">IFERROR(__xludf.DUMMYFUNCTION("""COMPUTED_VALUE"""),"Переход на Mobile SMARTS: Магазин 15 с ЕГАИС и МОТП, РАСШИРЕННЫЙ для «Штрих-М: Розничная сеть 5.2»,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«Штрих-М: Розничная сеть 5.2», для работы с маркированным товаром: АЛКОГОЛЬ, ТАБАК и товары по штрихкодам </v>
      </c>
      <c r="F394" s="5">
        <f ca="1">IFERROR(__xludf.DUMMYFUNCTION("""COMPUTED_VALUE"""),9275)</f>
        <v>9275</v>
      </c>
    </row>
    <row r="395" spans="1:6" ht="44.25" customHeight="1" x14ac:dyDescent="0.2">
      <c r="A395" s="4" t="str">
        <f ca="1">IFERROR(__xludf.DUMMYFUNCTION("""COMPUTED_VALUE"""),"«Штрих-М: Розничная сеть 5.2»")</f>
        <v>«Штрих-М: Розничная сеть 5.2»</v>
      </c>
      <c r="B395" s="4" t="str">
        <f ca="1">IFERROR(__xludf.DUMMYFUNCTION("""COMPUTED_VALUE"""),"с ЕГАИС и МОТП, МЕГАМАРКЕТ")</f>
        <v>с ЕГАИС и МОТП, МЕГАМАРКЕТ</v>
      </c>
      <c r="C395" s="4" t="str">
        <f ca="1">IFERROR(__xludf.DUMMYFUNCTION("""COMPUTED_VALUE"""),"UP2-RTL15CET-SHMSTOREC52")</f>
        <v>UP2-RTL15CET-SHMSTOREC52</v>
      </c>
      <c r="D395" s="4" t="str">
        <f ca="1">IFERROR(__xludf.DUMMYFUNCTION("""COMPUTED_VALUE"""),"Переход на Mobile SMARTS: Магазин 15 с ЕГАИС и МОТП, МЕГАМАРКЕТ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досту"&amp;"пные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перемещение"&amp;",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5" s="4" t="str">
        <f ca="1">IFERROR(__xludf.DUMMYFUNCTION("""COMPUTED_VALUE"""),"Переход на Mobile SMARTS: Магазин 15 с ЕГАИС и МОТП, МЕГАМАРКЕТ для «Штрих-М: Розничная сеть 5.2»,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«Штрих-М: Розничная сеть 5.2», для работы с маркированным товаром: АЛКОГОЛЬ, ТАБАК и товары по штрихкодам </v>
      </c>
      <c r="F395" s="5">
        <f ca="1">IFERROR(__xludf.DUMMYFUNCTION("""COMPUTED_VALUE"""),13175)</f>
        <v>13175</v>
      </c>
    </row>
    <row r="396" spans="1:6" ht="44.25" customHeight="1" x14ac:dyDescent="0.2">
      <c r="A396" s="4" t="str">
        <f ca="1">IFERROR(__xludf.DUMMYFUNCTION("""COMPUTED_VALUE"""),"«Штрих-М: Розничная сеть 5.2»")</f>
        <v>«Штрих-М: Розничная сеть 5.2»</v>
      </c>
      <c r="B396" s="4" t="str">
        <f ca="1">IFERROR(__xludf.DUMMYFUNCTION("""COMPUTED_VALUE"""),"ШМОТКИ, БАЗОВЫЙ")</f>
        <v>ШМОТКИ, БАЗОВЫЙ</v>
      </c>
      <c r="C396" s="4" t="str">
        <f ca="1">IFERROR(__xludf.DUMMYFUNCTION("""COMPUTED_VALUE"""),"UP2-RTL15AK-SHMSTOREC52")</f>
        <v>UP2-RTL15AK-SHMSTOREC52</v>
      </c>
      <c r="D396" s="4" t="str">
        <f ca="1">IFERROR(__xludf.DUMMYFUNCTION("""COMPUTED_VALUE"""),"Переход на Mobile SMARTS: Магазин 15 ШМОТКИ, БАЗОВЫЙ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дост"&amp;"упные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QR-кодо"&amp;"в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Интерне"&amp;"т на 1 (один) год")</f>
        <v>Переход на Mobile SMARTS: Магазин 15 ШМОТКИ, БАЗОВЫЙ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6" s="4" t="str">
        <f ca="1">IFERROR(__xludf.DUMMYFUNCTION("""COMPUTED_VALUE"""),"Переход на Mobile SMARTS: Магазин 15 ШМОТКИ, БАЗОВЫЙ для «Штрих-М: Розничная сеть 5.2»,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«Штрих-М: Розничная сеть 5.2», для работы с маркированным товаром: ОБУВЬ, ОДЕЖДА, ПАРФЮМ, ШИНЫ и товары по штрихкодам </v>
      </c>
      <c r="F396" s="5">
        <f ca="1">IFERROR(__xludf.DUMMYFUNCTION("""COMPUTED_VALUE"""),6075)</f>
        <v>6075</v>
      </c>
    </row>
    <row r="397" spans="1:6" ht="44.25" customHeight="1" x14ac:dyDescent="0.2">
      <c r="A397" s="4" t="str">
        <f ca="1">IFERROR(__xludf.DUMMYFUNCTION("""COMPUTED_VALUE"""),"«Штрих-М: Розничная сеть 5.2»")</f>
        <v>«Штрих-М: Розничная сеть 5.2»</v>
      </c>
      <c r="B397" s="4" t="str">
        <f ca="1">IFERROR(__xludf.DUMMYFUNCTION("""COMPUTED_VALUE"""),"ШМОТКИ, РАСШИРЕННЫЙ")</f>
        <v>ШМОТКИ, РАСШИРЕННЫЙ</v>
      </c>
      <c r="C397" s="4" t="str">
        <f ca="1">IFERROR(__xludf.DUMMYFUNCTION("""COMPUTED_VALUE"""),"UP2-RTL15BK-SHMSTOREC52")</f>
        <v>UP2-RTL15BK-SHMSTOREC52</v>
      </c>
      <c r="D397" s="4" t="str">
        <f ca="1">IFERROR(__xludf.DUMMYFUNCTION("""COMPUTED_VALUE"""),"Переход на 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"&amp;"доступные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QR-"&amp;"кодов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Переход на 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7" s="4" t="str">
        <f ca="1">IFERROR(__xludf.DUMMYFUNCTION("""COMPUTED_VALUE"""),"Переход на 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</v>
      </c>
      <c r="F397" s="5">
        <f ca="1">IFERROR(__xludf.DUMMYFUNCTION("""COMPUTED_VALUE"""),9275)</f>
        <v>9275</v>
      </c>
    </row>
    <row r="398" spans="1:6" ht="44.25" customHeight="1" x14ac:dyDescent="0.2">
      <c r="A398" s="4" t="str">
        <f ca="1">IFERROR(__xludf.DUMMYFUNCTION("""COMPUTED_VALUE"""),"«Штрих-М: Розничная сеть 5.2»")</f>
        <v>«Штрих-М: Розничная сеть 5.2»</v>
      </c>
      <c r="B398" s="4" t="str">
        <f ca="1">IFERROR(__xludf.DUMMYFUNCTION("""COMPUTED_VALUE"""),"ШМОТКИ, МЕГАМАРКЕТ")</f>
        <v>ШМОТКИ, МЕГАМАРКЕТ</v>
      </c>
      <c r="C398" s="4" t="str">
        <f ca="1">IFERROR(__xludf.DUMMYFUNCTION("""COMPUTED_VALUE"""),"UP2-RTL15CK-SHMSTOREC52")</f>
        <v>UP2-RTL15CK-SHMSTOREC52</v>
      </c>
      <c r="D398" s="4" t="str">
        <f ca="1">IFERROR(__xludf.DUMMYFUNCTION("""COMPUTED_VALUE"""),"Переход на 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д"&amp;"оступные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QR-к"&amp;"одов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Переход на 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8" s="4" t="str">
        <f ca="1">IFERROR(__xludf.DUMMYFUNCTION("""COMPUTED_VALUE"""),"Переход на 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</v>
      </c>
      <c r="F398" s="5">
        <f ca="1">IFERROR(__xludf.DUMMYFUNCTION("""COMPUTED_VALUE"""),13175)</f>
        <v>13175</v>
      </c>
    </row>
    <row r="399" spans="1:6" ht="44.25" customHeight="1" x14ac:dyDescent="0.2">
      <c r="A399" s="4" t="str">
        <f ca="1">IFERROR(__xludf.DUMMYFUNCTION("""COMPUTED_VALUE"""),"«Штрих-М: Розничная сеть 5.2»")</f>
        <v>«Штрих-М: Розничная сеть 5.2»</v>
      </c>
      <c r="B399" s="4" t="str">
        <f ca="1">IFERROR(__xludf.DUMMYFUNCTION("""COMPUTED_VALUE"""),"ПРОДУКТОВЫЙ, БАЗОВЫЙ")</f>
        <v>ПРОДУКТОВЫЙ, БАЗОВЫЙ</v>
      </c>
      <c r="C399" s="4" t="str">
        <f ca="1">IFERROR(__xludf.DUMMYFUNCTION("""COMPUTED_VALUE"""),"UP2-RTL15AG-SHMSTOREC52")</f>
        <v>UP2-RTL15AG-SHMSTOREC52</v>
      </c>
      <c r="D399" s="4" t="str">
        <f ca="1">IFERROR(__xludf.DUMMYFUNCTION("""COMPUTED_VALUE"""),"Переход на 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"&amp;"обмен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з"&amp;"аказа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9" s="4" t="str">
        <f ca="1">IFERROR(__xludf.DUMMYFUNCTION("""COMPUTED_VALUE"""),"Переход на 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</v>
      </c>
      <c r="F399" s="5">
        <f ca="1">IFERROR(__xludf.DUMMYFUNCTION("""COMPUTED_VALUE"""),7275)</f>
        <v>7275</v>
      </c>
    </row>
    <row r="400" spans="1:6" ht="44.25" customHeight="1" x14ac:dyDescent="0.2">
      <c r="A400" s="4" t="str">
        <f ca="1">IFERROR(__xludf.DUMMYFUNCTION("""COMPUTED_VALUE"""),"«Штрих-М: Розничная сеть 5.2»")</f>
        <v>«Штрих-М: Розничная сеть 5.2»</v>
      </c>
      <c r="B400" s="4" t="str">
        <f ca="1">IFERROR(__xludf.DUMMYFUNCTION("""COMPUTED_VALUE"""),"ПРОДУКТОВЫЙ, РАСШИРЕННЫЙ")</f>
        <v>ПРОДУКТОВЫЙ, РАСШИРЕННЫЙ</v>
      </c>
      <c r="C400" s="4" t="str">
        <f ca="1">IFERROR(__xludf.DUMMYFUNCTION("""COMPUTED_VALUE"""),"UP2-RTL15BG-SHMSTOREC52")</f>
        <v>UP2-RTL15BG-SHMSTOREC52</v>
      </c>
      <c r="D400" s="4" t="str">
        <f ca="1">IFERROR(__xludf.DUMMYFUNCTION("""COMPUTED_VALUE"""),"Переход на 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"&amp;"или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подб"&amp;"ор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0" s="4" t="str">
        <f ca="1">IFERROR(__xludf.DUMMYFUNCTION("""COMPUTED_VALUE"""),"Переход на 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</v>
      </c>
      <c r="F400" s="5">
        <f ca="1">IFERROR(__xludf.DUMMYFUNCTION("""COMPUTED_VALUE"""),10475)</f>
        <v>10475</v>
      </c>
    </row>
    <row r="401" spans="1:6" ht="44.25" customHeight="1" x14ac:dyDescent="0.2">
      <c r="A401" s="4" t="str">
        <f ca="1">IFERROR(__xludf.DUMMYFUNCTION("""COMPUTED_VALUE"""),"«Штрих-М: Розничная сеть 5.2»")</f>
        <v>«Штрих-М: Розничная сеть 5.2»</v>
      </c>
      <c r="B401" s="4" t="str">
        <f ca="1">IFERROR(__xludf.DUMMYFUNCTION("""COMPUTED_VALUE"""),"ПРОДУКТОВЫЙ, МЕГАМАРКЕТ")</f>
        <v>ПРОДУКТОВЫЙ, МЕГАМАРКЕТ</v>
      </c>
      <c r="C401" s="4" t="str">
        <f ca="1">IFERROR(__xludf.DUMMYFUNCTION("""COMPUTED_VALUE"""),"UP2-RTL15CG-SHMSTOREC52")</f>
        <v>UP2-RTL15CG-SHMSTOREC52</v>
      </c>
      <c r="D401" s="4" t="str">
        <f ca="1">IFERROR(__xludf.DUMMYFUNCTION("""COMPUTED_VALUE"""),"Переход на 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и"&amp;"ли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подбо"&amp;"р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1" s="4" t="str">
        <f ca="1">IFERROR(__xludf.DUMMYFUNCTION("""COMPUTED_VALUE"""),"Переход на 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</v>
      </c>
      <c r="F401" s="5">
        <f ca="1">IFERROR(__xludf.DUMMYFUNCTION("""COMPUTED_VALUE"""),14125)</f>
        <v>14125</v>
      </c>
    </row>
    <row r="402" spans="1:6" ht="44.25" customHeight="1" x14ac:dyDescent="0.2">
      <c r="A402" s="4"/>
      <c r="B402" s="4"/>
      <c r="C402" s="4" t="str">
        <f ca="1">IFERROR(__xludf.DUMMYFUNCTION("""COMPUTED_VALUE"""),"UP2-")</f>
        <v>UP2-</v>
      </c>
      <c r="D402" s="4" t="str">
        <f ca="1">IFERROR(__xludf.DUMMYFUNCTION("""COMPUTED_VALUE"""),"Переход на Лицензии для «Далион» стандартные")</f>
        <v>Переход на Лицензии для «Далион» стандартные</v>
      </c>
      <c r="E402" s="4" t="str">
        <f ca="1">IFERROR(__xludf.DUMMYFUNCTION("""COMPUTED_VALUE"""),"#VALUE!")</f>
        <v>#VALUE!</v>
      </c>
      <c r="F402" s="4" t="str">
        <f ca="1">IFERROR(__xludf.DUMMYFUNCTION("""COMPUTED_VALUE"""),"#N/A")</f>
        <v>#N/A</v>
      </c>
    </row>
    <row r="403" spans="1:6" ht="44.25" customHeight="1" x14ac:dyDescent="0.2">
      <c r="A403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3" s="4" t="str">
        <f ca="1">IFERROR(__xludf.DUMMYFUNCTION("""COMPUTED_VALUE"""),"МИНИМУМ")</f>
        <v>МИНИМУМ</v>
      </c>
      <c r="C403" s="4" t="str">
        <f ca="1">IFERROR(__xludf.DUMMYFUNCTION("""COMPUTED_VALUE"""),"UP2-RTL15M-DALION")</f>
        <v>UP2-RTL15M-DALION</v>
      </c>
      <c r="D403" s="4" t="str">
        <f ca="1">IFERROR(__xludf.DUMMYFUNCTION("""COMPUTED_VALUE"""),"Переход на Mobile SMARTS: Магазин 15, МИНИМУМ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инвентар"&amp;"изация,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"&amp;"через Интернет на 1 (один) год")</f>
        <v>Переход на Mobile SMARTS: Магазин 15, МИНИМУМ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03" s="4" t="str">
        <f ca="1">IFERROR(__xludf.DUMMYFUNCTION("""COMPUTED_VALUE"""),"Переход на Mobile SMARTS: Магазин 15, МИНИМУМ для «ДАЛИОН: Управление магазином 1.2» ПРО/УНО/СЕТЬ, для работы с товаром по штрихкодам ")</f>
        <v xml:space="preserve">Переход на Mobile SMARTS: Магазин 15, МИНИМУМ для «ДАЛИОН: Управление магазином 1.2» ПРО/УНО/СЕТЬ, для работы с товаром по штрихкодам </v>
      </c>
      <c r="F403" s="5">
        <f ca="1">IFERROR(__xludf.DUMMYFUNCTION("""COMPUTED_VALUE"""),1725)</f>
        <v>1725</v>
      </c>
    </row>
    <row r="404" spans="1:6" ht="44.25" customHeight="1" x14ac:dyDescent="0.2">
      <c r="A404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4" s="4" t="str">
        <f ca="1">IFERROR(__xludf.DUMMYFUNCTION("""COMPUTED_VALUE"""),"БАЗОВЫЙ")</f>
        <v>БАЗОВЫЙ</v>
      </c>
      <c r="C404" s="4" t="str">
        <f ca="1">IFERROR(__xludf.DUMMYFUNCTION("""COMPUTED_VALUE"""),"UP2-RTL15A-DALION")</f>
        <v>UP2-RTL15A-DALION</v>
      </c>
      <c r="D404" s="4" t="str">
        <f ca="1">IFERROR(__xludf.DUMMYFUNCTION("""COMPUTED_VALUE"""),"Переход на Mobile SMARTS: Магазин 15, БАЗОВЫЙ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инвентаризац"&amp;"ия,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экра"&amp;"не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4" s="4" t="str">
        <f ca="1">IFERROR(__xludf.DUMMYFUNCTION("""COMPUTED_VALUE"""),"Переход на Mobile SMARTS: Магазин 15, БАЗОВЫЙ для «ДАЛИОН: Управление магазином 1.2» ПРО/УНО/СЕТЬ, для работы с товаром по штрихкодам ")</f>
        <v xml:space="preserve">Переход на Mobile SMARTS: Магазин 15, БАЗОВЫЙ для «ДАЛИОН: Управление магазином 1.2» ПРО/УНО/СЕТЬ, для работы с товаром по штрихкодам </v>
      </c>
      <c r="F404" s="5">
        <f ca="1">IFERROR(__xludf.DUMMYFUNCTION("""COMPUTED_VALUE"""),4325)</f>
        <v>4325</v>
      </c>
    </row>
    <row r="405" spans="1:6" ht="44.25" customHeight="1" x14ac:dyDescent="0.2">
      <c r="A405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5" s="4" t="str">
        <f ca="1">IFERROR(__xludf.DUMMYFUNCTION("""COMPUTED_VALUE"""),"РАСШИРЕННЫЙ")</f>
        <v>РАСШИРЕННЫЙ</v>
      </c>
      <c r="C405" s="4" t="str">
        <f ca="1">IFERROR(__xludf.DUMMYFUNCTION("""COMPUTED_VALUE"""),"UP2-RTL15B-DALION")</f>
        <v>UP2-RTL15B-DALION</v>
      </c>
      <c r="D405" s="4" t="str">
        <f ca="1">IFERROR(__xludf.DUMMYFUNCTION("""COMPUTED_VALUE"""),"Переход на Mobile SMARTS: Магазин 15, РАСШИРЕННЫЙ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инвентар"&amp;"изация,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"&amp;"экране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5" s="4" t="str">
        <f ca="1">IFERROR(__xludf.DUMMYFUNCTION("""COMPUTED_VALUE"""),"Переход на Mobile SMARTS: Магазин 15, РАСШИРЕННЫЙ для «ДАЛИОН: Управление магазином 1.2» ПРО/УНО/СЕТЬ, для работы с товаром по штрихкодам ")</f>
        <v xml:space="preserve">Переход на Mobile SMARTS: Магазин 15, РАСШИРЕННЫЙ для «ДАЛИОН: Управление магазином 1.2» ПРО/УНО/СЕТЬ, для работы с товаром по штрихкодам </v>
      </c>
      <c r="F405" s="5">
        <f ca="1">IFERROR(__xludf.DUMMYFUNCTION("""COMPUTED_VALUE"""),7525)</f>
        <v>7525</v>
      </c>
    </row>
    <row r="406" spans="1:6" ht="44.25" customHeight="1" x14ac:dyDescent="0.2">
      <c r="A406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6" s="4" t="str">
        <f ca="1">IFERROR(__xludf.DUMMYFUNCTION("""COMPUTED_VALUE"""),"МЕГАМАРКЕТ")</f>
        <v>МЕГАМАРКЕТ</v>
      </c>
      <c r="C406" s="4" t="str">
        <f ca="1">IFERROR(__xludf.DUMMYFUNCTION("""COMPUTED_VALUE"""),"UP2-RTL15C-DALION")</f>
        <v>UP2-RTL15C-DALION</v>
      </c>
      <c r="D406" s="4" t="str">
        <f ca="1">IFERROR(__xludf.DUMMYFUNCTION("""COMPUTED_VALUE"""),"Переход на Mobile SMARTS: Магазин 15, МЕГАМАРКЕТ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инвентари"&amp;"зация,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6" s="4" t="str">
        <f ca="1">IFERROR(__xludf.DUMMYFUNCTION("""COMPUTED_VALUE"""),"Переход на Mobile SMARTS: Магазин 15, МЕГАМАРКЕТ для «ДАЛИОН: Управление магазином 1.2» ПРО/УНО/СЕТЬ, для работы с товаром по штрихкодам ")</f>
        <v xml:space="preserve">Переход на Mobile SMARTS: Магазин 15, МЕГАМАРКЕТ для «ДАЛИОН: Управление магазином 1.2» ПРО/УНО/СЕТЬ, для работы с товаром по штрихкодам </v>
      </c>
      <c r="F406" s="5">
        <f ca="1">IFERROR(__xludf.DUMMYFUNCTION("""COMPUTED_VALUE"""),10775)</f>
        <v>10775</v>
      </c>
    </row>
    <row r="407" spans="1:6" ht="44.25" customHeight="1" x14ac:dyDescent="0.2">
      <c r="A407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7" s="4" t="str">
        <f ca="1">IFERROR(__xludf.DUMMYFUNCTION("""COMPUTED_VALUE"""),"с ЕГАИС, БАЗОВЫЙ")</f>
        <v>с ЕГАИС, БАЗОВЫЙ</v>
      </c>
      <c r="C407" s="4" t="str">
        <f ca="1">IFERROR(__xludf.DUMMYFUNCTION("""COMPUTED_VALUE"""),"UP2-RTL15AE-DALION")</f>
        <v>UP2-RTL15AE-DALION</v>
      </c>
      <c r="D407" s="4" t="str">
        <f ca="1">IFERROR(__xludf.DUMMYFUNCTION("""COMPUTED_VALUE"""),"Переход на 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нет онлайна "&amp;"/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мо"&amp;"бильный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"&amp;"1 (один) год")</f>
        <v>Переход на 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07" s="4" t="str">
        <f ca="1">IFERROR(__xludf.DUMMYFUNCTION("""COMPUTED_VALUE"""),"Переход на 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")</f>
        <v xml:space="preserve">Переход на 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</v>
      </c>
      <c r="F407" s="5">
        <f ca="1">IFERROR(__xludf.DUMMYFUNCTION("""COMPUTED_VALUE"""),5500)</f>
        <v>5500</v>
      </c>
    </row>
    <row r="408" spans="1:6" ht="44.25" customHeight="1" x14ac:dyDescent="0.2">
      <c r="A408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8" s="4" t="str">
        <f ca="1">IFERROR(__xludf.DUMMYFUNCTION("""COMPUTED_VALUE"""),"с ЕГАИС, РАСШИРЕННЫЙ")</f>
        <v>с ЕГАИС, РАСШИРЕННЫЙ</v>
      </c>
      <c r="C408" s="4" t="str">
        <f ca="1">IFERROR(__xludf.DUMMYFUNCTION("""COMPUTED_VALUE"""),"UP2-RTL15BE-DALION")</f>
        <v>UP2-RTL15BE-DALION</v>
      </c>
      <c r="D408" s="4" t="str">
        <f ca="1">IFERROR(__xludf.DUMMYFUNCTION("""COMPUTED_VALUE"""),"Переход на 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есть ОНЛ"&amp;"АЙН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н"&amp;"а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Переход на 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8" s="4" t="str">
        <f ca="1">IFERROR(__xludf.DUMMYFUNCTION("""COMPUTED_VALUE"""),"Переход на 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")</f>
        <v xml:space="preserve">Переход на 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</v>
      </c>
      <c r="F408" s="5">
        <f ca="1">IFERROR(__xludf.DUMMYFUNCTION("""COMPUTED_VALUE"""),8725)</f>
        <v>8725</v>
      </c>
    </row>
    <row r="409" spans="1:6" ht="44.25" customHeight="1" x14ac:dyDescent="0.2">
      <c r="A409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9" s="4" t="str">
        <f ca="1">IFERROR(__xludf.DUMMYFUNCTION("""COMPUTED_VALUE"""),"с ЕГАИС (без CheckMark2), МЕГАМАРКЕТ")</f>
        <v>с ЕГАИС (без CheckMark2), МЕГАМАРКЕТ</v>
      </c>
      <c r="C409" s="4" t="str">
        <f ca="1">IFERROR(__xludf.DUMMYFUNCTION("""COMPUTED_VALUE"""),"UP2-RTL15CEV-DALION")</f>
        <v>UP2-RTL15CEV-DALION</v>
      </c>
      <c r="D409" s="4" t="str">
        <f ca="1">IFERROR(__xludf.DUMMYFUNCTION("""COMPUTED_VALUE"""),"Переход на 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Инт"&amp;"ернет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возмо"&amp;"жности: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подп"&amp;"иска на обновления и обмен через Интернет на 1 (один) год")</f>
        <v>Переход на 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9" s="4" t="str">
        <f ca="1">IFERROR(__xludf.DUMMYFUNCTION("""COMPUTED_VALUE"""),"Переход на 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</v>
      </c>
      <c r="F409" s="5">
        <f ca="1">IFERROR(__xludf.DUMMYFUNCTION("""COMPUTED_VALUE"""),11925)</f>
        <v>11925</v>
      </c>
    </row>
    <row r="410" spans="1:6" ht="44.25" customHeight="1" x14ac:dyDescent="0.2">
      <c r="A410" s="4" t="str">
        <f ca="1">IFERROR(__xludf.DUMMYFUNCTION("""COMPUTED_VALUE"""),"«ДАЛИОН: Управление магазином 1.2» ЛАЙТ")</f>
        <v>«ДАЛИОН: Управление магазином 1.2» ЛАЙТ</v>
      </c>
      <c r="B410" s="4" t="str">
        <f ca="1">IFERROR(__xludf.DUMMYFUNCTION("""COMPUTED_VALUE"""),"МИНИМУМ")</f>
        <v>МИНИМУМ</v>
      </c>
      <c r="C410" s="4" t="str">
        <f ca="1">IFERROR(__xludf.DUMMYFUNCTION("""COMPUTED_VALUE"""),"UP2-RTL15M-DALIONLITE12")</f>
        <v>UP2-RTL15M-DALIONLITE12</v>
      </c>
      <c r="D410" s="4" t="str">
        <f ca="1">IFERROR(__xludf.DUMMYFUNCTION("""COMPUTED_VALUE"""),"Переход на Mobile SMARTS: Магазин 15, МИНИМУМ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"&amp;"просмотр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Ин"&amp;"тернет на 1 (один) год")</f>
        <v>Переход на Mobile SMARTS: Магазин 15, МИНИМУМ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0" s="4" t="str">
        <f ca="1">IFERROR(__xludf.DUMMYFUNCTION("""COMPUTED_VALUE"""),"Переход на Mobile SMARTS: Магазин 15, МИНИМУМ для «ДАЛИОН: Управление магазином 1.2» ЛАЙТ, для работы с товаром по штрихкодам ")</f>
        <v xml:space="preserve">Переход на Mobile SMARTS: Магазин 15, МИНИМУМ для «ДАЛИОН: Управление магазином 1.2» ЛАЙТ, для работы с товаром по штрихкодам </v>
      </c>
      <c r="F410" s="5">
        <f ca="1">IFERROR(__xludf.DUMMYFUNCTION("""COMPUTED_VALUE"""),1725)</f>
        <v>1725</v>
      </c>
    </row>
    <row r="411" spans="1:6" ht="44.25" customHeight="1" x14ac:dyDescent="0.2">
      <c r="A411" s="4" t="str">
        <f ca="1">IFERROR(__xludf.DUMMYFUNCTION("""COMPUTED_VALUE"""),"«ДАЛИОН: Управление магазином 1.2» ЛАЙТ")</f>
        <v>«ДАЛИОН: Управление магазином 1.2» ЛАЙТ</v>
      </c>
      <c r="B411" s="4" t="str">
        <f ca="1">IFERROR(__xludf.DUMMYFUNCTION("""COMPUTED_VALUE"""),"БАЗОВЫЙ")</f>
        <v>БАЗОВЫЙ</v>
      </c>
      <c r="C411" s="4" t="str">
        <f ca="1">IFERROR(__xludf.DUMMYFUNCTION("""COMPUTED_VALUE"""),"UP2-RTL15A-DALIONLITE12")</f>
        <v>UP2-RTL15A-DALIONLITE12</v>
      </c>
      <c r="D411" s="4" t="str">
        <f ca="1">IFERROR(__xludf.DUMMYFUNCTION("""COMPUTED_VALUE"""),"Переход на Mobile SMARTS: Магазин 15, БАЗОВЫЙ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1" s="4" t="str">
        <f ca="1">IFERROR(__xludf.DUMMYFUNCTION("""COMPUTED_VALUE"""),"Переход на Mobile SMARTS: Магазин 15, БАЗОВЫЙ для «ДАЛИОН: Управление магазином 1.2» ЛАЙТ, для работы с товаром по штрихкодам ")</f>
        <v xml:space="preserve">Переход на Mobile SMARTS: Магазин 15, БАЗОВЫЙ для «ДАЛИОН: Управление магазином 1.2» ЛАЙТ, для работы с товаром по штрихкодам </v>
      </c>
      <c r="F411" s="5">
        <f ca="1">IFERROR(__xludf.DUMMYFUNCTION("""COMPUTED_VALUE"""),4325)</f>
        <v>4325</v>
      </c>
    </row>
    <row r="412" spans="1:6" ht="44.25" customHeight="1" x14ac:dyDescent="0.2">
      <c r="A412" s="4" t="str">
        <f ca="1">IFERROR(__xludf.DUMMYFUNCTION("""COMPUTED_VALUE"""),"«ДАЛИОН: Управление магазином 1.2» ЛАЙТ")</f>
        <v>«ДАЛИОН: Управление магазином 1.2» ЛАЙТ</v>
      </c>
      <c r="B412" s="4" t="str">
        <f ca="1">IFERROR(__xludf.DUMMYFUNCTION("""COMPUTED_VALUE"""),"с ЕГАИС, БАЗОВЫЙ")</f>
        <v>с ЕГАИС, БАЗОВЫЙ</v>
      </c>
      <c r="C412" s="4" t="str">
        <f ca="1">IFERROR(__xludf.DUMMYFUNCTION("""COMPUTED_VALUE"""),"UP2-RTL15AE-DALIONLITE12")</f>
        <v>UP2-RTL15AE-DALIONLITE12</v>
      </c>
      <c r="D412" s="4" t="str">
        <f ca="1">IFERROR(__xludf.DUMMYFUNCTION("""COMPUTED_VALUE"""),"Переход на Mobile SMARTS: Магазин 15 с ЕГАИС, БАЗОВЫЙ для «ДАЛИОН: Управление магазином 1.2» ЛАЙТ,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"&amp;"принтер,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(один)"&amp;" год")</f>
        <v>Переход на Mobile SMARTS: Магазин 15 с ЕГАИС, БАЗОВЫЙ для «ДАЛИОН: Управление магазином 1.2» ЛАЙТ,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2" s="4" t="str">
        <f ca="1">IFERROR(__xludf.DUMMYFUNCTION("""COMPUTED_VALUE"""),"Переход на Mobile SMARTS: Магазин 15 с ЕГАИС, БАЗОВЫЙ для «ДАЛИОН: Управление магазином 1.2» ЛАЙТ, для работы с маркированным товаром: алкоголь ЕГАИС и товары по штрихкодам ")</f>
        <v xml:space="preserve">Переход на Mobile SMARTS: Магазин 15 с ЕГАИС, БАЗОВЫЙ для «ДАЛИОН: Управление магазином 1.2» ЛАЙТ, для работы с маркированным товаром: алкоголь ЕГАИС и товары по штрихкодам </v>
      </c>
      <c r="F412" s="5">
        <f ca="1">IFERROR(__xludf.DUMMYFUNCTION("""COMPUTED_VALUE"""),5500)</f>
        <v>5500</v>
      </c>
    </row>
    <row r="413" spans="1:6" ht="44.25" customHeight="1" x14ac:dyDescent="0.2">
      <c r="A413" s="4" t="str">
        <f ca="1">IFERROR(__xludf.DUMMYFUNCTION("""COMPUTED_VALUE"""),"«ДАЛИОН: Управление магазином 2.0»")</f>
        <v>«ДАЛИОН: Управление магазином 2.0»</v>
      </c>
      <c r="B413" s="4" t="str">
        <f ca="1">IFERROR(__xludf.DUMMYFUNCTION("""COMPUTED_VALUE"""),"МИНИМУМ")</f>
        <v>МИНИМУМ</v>
      </c>
      <c r="C413" s="4" t="str">
        <f ca="1">IFERROR(__xludf.DUMMYFUNCTION("""COMPUTED_VALUE"""),"UP2-RTL15M-DALIONUM20")</f>
        <v>UP2-RTL15M-DALIONUM20</v>
      </c>
      <c r="D413" s="4" t="str">
        <f ca="1">IFERROR(__xludf.DUMMYFUNCTION("""COMPUTED_VALUE"""),"Переход на Mobile SMARTS: Магазин 15, МИНИМУМ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просм"&amp;"отр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Интерне"&amp;"т на 1 (один) год")</f>
        <v>Переход на Mobile SMARTS: Магазин 15, МИНИМУМ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3" s="4" t="str">
        <f ca="1">IFERROR(__xludf.DUMMYFUNCTION("""COMPUTED_VALUE"""),"Переход на Mobile SMARTS: Магазин 15, МИНИМУМ для «ДАЛИОН: Управление магазином 2.0», для работы с товаром по штрихкодам ")</f>
        <v xml:space="preserve">Переход на Mobile SMARTS: Магазин 15, МИНИМУМ для «ДАЛИОН: Управление магазином 2.0», для работы с товаром по штрихкодам </v>
      </c>
      <c r="F413" s="5">
        <f ca="1">IFERROR(__xludf.DUMMYFUNCTION("""COMPUTED_VALUE"""),1725)</f>
        <v>1725</v>
      </c>
    </row>
    <row r="414" spans="1:6" ht="44.25" customHeight="1" x14ac:dyDescent="0.2">
      <c r="A414" s="4" t="str">
        <f ca="1">IFERROR(__xludf.DUMMYFUNCTION("""COMPUTED_VALUE"""),"«ДАЛИОН: Управление магазином 2.0»")</f>
        <v>«ДАЛИОН: Управление магазином 2.0»</v>
      </c>
      <c r="B414" s="4" t="str">
        <f ca="1">IFERROR(__xludf.DUMMYFUNCTION("""COMPUTED_VALUE"""),"БАЗОВЫЙ")</f>
        <v>БАЗОВЫЙ</v>
      </c>
      <c r="C414" s="4" t="str">
        <f ca="1">IFERROR(__xludf.DUMMYFUNCTION("""COMPUTED_VALUE"""),"UP2-RTL15A-DALIONUM20")</f>
        <v>UP2-RTL15A-DALIONUM20</v>
      </c>
      <c r="D414" s="4" t="str">
        <f ca="1">IFERROR(__xludf.DUMMYFUNCTION("""COMPUTED_VALUE"""),"Переход на Mobile SMARTS: Магазин 15, БАЗОВЫЙ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переоценк"&amp;"а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изменени"&amp;"е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4" s="4" t="str">
        <f ca="1">IFERROR(__xludf.DUMMYFUNCTION("""COMPUTED_VALUE"""),"Переход на Mobile SMARTS: Магазин 15, БАЗОВЫЙ для «ДАЛИОН: Управление магазином 2.0», для работы с товаром по штрихкодам ")</f>
        <v xml:space="preserve">Переход на Mobile SMARTS: Магазин 15, БАЗОВЫЙ для «ДАЛИОН: Управление магазином 2.0», для работы с товаром по штрихкодам </v>
      </c>
      <c r="F414" s="5">
        <f ca="1">IFERROR(__xludf.DUMMYFUNCTION("""COMPUTED_VALUE"""),4325)</f>
        <v>4325</v>
      </c>
    </row>
    <row r="415" spans="1:6" ht="44.25" customHeight="1" x14ac:dyDescent="0.2">
      <c r="A415" s="4" t="str">
        <f ca="1">IFERROR(__xludf.DUMMYFUNCTION("""COMPUTED_VALUE"""),"«ДАЛИОН: Управление магазином 2.0»")</f>
        <v>«ДАЛИОН: Управление магазином 2.0»</v>
      </c>
      <c r="B415" s="4" t="str">
        <f ca="1">IFERROR(__xludf.DUMMYFUNCTION("""COMPUTED_VALUE"""),"РАСШИРЕННЫЙ")</f>
        <v>РАСШИРЕННЫЙ</v>
      </c>
      <c r="C415" s="4" t="str">
        <f ca="1">IFERROR(__xludf.DUMMYFUNCTION("""COMPUTED_VALUE"""),"UP2-RTL15B-DALIONUM20")</f>
        <v>UP2-RTL15B-DALIONUM20</v>
      </c>
      <c r="D415" s="4" t="str">
        <f ca="1">IFERROR(__xludf.DUMMYFUNCTION("""COMPUTED_VALUE"""),"Переход на Mobile SMARTS: Магазин 15, РАСШИРЕННЫЙ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перео"&amp;"ценка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5" s="4" t="str">
        <f ca="1">IFERROR(__xludf.DUMMYFUNCTION("""COMPUTED_VALUE"""),"Переход на Mobile SMARTS: Магазин 15, РАСШИРЕННЫЙ для «ДАЛИОН: Управление магазином 2.0», для работы с товаром по штрихкодам ")</f>
        <v xml:space="preserve">Переход на Mobile SMARTS: Магазин 15, РАСШИРЕННЫЙ для «ДАЛИОН: Управление магазином 2.0», для работы с товаром по штрихкодам </v>
      </c>
      <c r="F415" s="5">
        <f ca="1">IFERROR(__xludf.DUMMYFUNCTION("""COMPUTED_VALUE"""),7525)</f>
        <v>7525</v>
      </c>
    </row>
    <row r="416" spans="1:6" ht="44.25" customHeight="1" x14ac:dyDescent="0.2">
      <c r="A416" s="4" t="str">
        <f ca="1">IFERROR(__xludf.DUMMYFUNCTION("""COMPUTED_VALUE"""),"«ДАЛИОН: Управление магазином 2.0»")</f>
        <v>«ДАЛИОН: Управление магазином 2.0»</v>
      </c>
      <c r="B416" s="4" t="str">
        <f ca="1">IFERROR(__xludf.DUMMYFUNCTION("""COMPUTED_VALUE"""),"МЕГАМАРКЕТ")</f>
        <v>МЕГАМАРКЕТ</v>
      </c>
      <c r="C416" s="4" t="str">
        <f ca="1">IFERROR(__xludf.DUMMYFUNCTION("""COMPUTED_VALUE"""),"UP2-RTL15C-DALIONUM20")</f>
        <v>UP2-RTL15C-DALIONUM20</v>
      </c>
      <c r="D416" s="4" t="str">
        <f ca="1">IFERROR(__xludf.DUMMYFUNCTION("""COMPUTED_VALUE"""),"Переход на Mobile SMARTS: Магазин 15, МЕГАМАРКЕТ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переоц"&amp;"енка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6" s="4" t="str">
        <f ca="1">IFERROR(__xludf.DUMMYFUNCTION("""COMPUTED_VALUE"""),"Переход на Mobile SMARTS: Магазин 15, МЕГАМАРКЕТ для «ДАЛИОН: Управление магазином 2.0», для работы с товаром по штрихкодам ")</f>
        <v xml:space="preserve">Переход на Mobile SMARTS: Магазин 15, МЕГАМАРКЕТ для «ДАЛИОН: Управление магазином 2.0», для работы с товаром по штрихкодам </v>
      </c>
      <c r="F416" s="5">
        <f ca="1">IFERROR(__xludf.DUMMYFUNCTION("""COMPUTED_VALUE"""),10775)</f>
        <v>10775</v>
      </c>
    </row>
    <row r="417" spans="1:6" ht="44.25" customHeight="1" x14ac:dyDescent="0.2">
      <c r="A417" s="4" t="str">
        <f ca="1">IFERROR(__xludf.DUMMYFUNCTION("""COMPUTED_VALUE"""),"«ДАЛИОН: Управление магазином 2.0»")</f>
        <v>«ДАЛИОН: Управление магазином 2.0»</v>
      </c>
      <c r="B417" s="4" t="str">
        <f ca="1">IFERROR(__xludf.DUMMYFUNCTION("""COMPUTED_VALUE"""),"с ЕГАИС, БАЗОВЫЙ")</f>
        <v>с ЕГАИС, БАЗОВЫЙ</v>
      </c>
      <c r="C417" s="4" t="str">
        <f ca="1">IFERROR(__xludf.DUMMYFUNCTION("""COMPUTED_VALUE"""),"UP2-RTL15AE-DALIONUM20")</f>
        <v>UP2-RTL15AE-DALIONUM20</v>
      </c>
      <c r="D417" s="4" t="str">
        <f ca="1">IFERROR(__xludf.DUMMYFUNCTION("""COMPUTED_VALUE"""),"Переход на Mobile SMARTS: Магазин 15 с ЕГАИС, БАЗОВЫЙ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о"&amp;"перации: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принт"&amp;"ер,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7" s="4" t="str">
        <f ca="1">IFERROR(__xludf.DUMMYFUNCTION("""COMPUTED_VALUE"""),"Переход на Mobile SMARTS: Магазин 15 с ЕГАИС, БАЗОВЫЙ для «ДАЛИОН: Управление магазином 2.0», для работы с маркированным товаром: алкоголь ЕГАИС и товары по штрихкодам ")</f>
        <v xml:space="preserve">Переход на Mobile SMARTS: Магазин 15 с ЕГАИС, БАЗОВЫЙ для «ДАЛИОН: Управление магазином 2.0», для работы с маркированным товаром: алкоголь ЕГАИС и товары по штрихкодам </v>
      </c>
      <c r="F417" s="5">
        <f ca="1">IFERROR(__xludf.DUMMYFUNCTION("""COMPUTED_VALUE"""),5500)</f>
        <v>5500</v>
      </c>
    </row>
    <row r="418" spans="1:6" ht="44.25" customHeight="1" x14ac:dyDescent="0.2">
      <c r="A418" s="4" t="str">
        <f ca="1">IFERROR(__xludf.DUMMYFUNCTION("""COMPUTED_VALUE"""),"«ДАЛИОН: Управление магазином 2.0»")</f>
        <v>«ДАЛИОН: Управление магазином 2.0»</v>
      </c>
      <c r="B418" s="4" t="str">
        <f ca="1">IFERROR(__xludf.DUMMYFUNCTION("""COMPUTED_VALUE"""),"с ЕГАИС, РАСШИРЕННЫЙ")</f>
        <v>с ЕГАИС, РАСШИРЕННЫЙ</v>
      </c>
      <c r="C418" s="4" t="str">
        <f ca="1">IFERROR(__xludf.DUMMYFUNCTION("""COMPUTED_VALUE"""),"UP2-RTL15BE-DALIONUM20")</f>
        <v>UP2-RTL15BE-DALIONUM20</v>
      </c>
      <c r="D418" s="4" t="str">
        <f ca="1">IFERROR(__xludf.DUMMYFUNCTION("""COMPUTED_VALUE"""),"Переход на Mobile SMARTS: Магазин 15 с ЕГАИС, РАСШИРЕННЫЙ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доступн"&amp;"ые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п"&amp;"ринтер,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(о"&amp;"дин) год")</f>
        <v>Переход на Mobile SMARTS: Магазин 15 с ЕГАИС, РАСШИРЕННЫЙ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8" s="4" t="str">
        <f ca="1">IFERROR(__xludf.DUMMYFUNCTION("""COMPUTED_VALUE"""),"Переход на Mobile SMARTS: Магазин 15 с ЕГАИС, РАСШИРЕННЫЙ для «ДАЛИОН: Управление магазином 2.0», для работы с маркированным товаром: алкоголь ЕГАИС и товары по штрихкодам ")</f>
        <v xml:space="preserve">Переход на Mobile SMARTS: Магазин 15 с ЕГАИС, РАСШИРЕННЫЙ для «ДАЛИОН: Управление магазином 2.0», для работы с маркированным товаром: алкоголь ЕГАИС и товары по штрихкодам </v>
      </c>
      <c r="F418" s="5">
        <f ca="1">IFERROR(__xludf.DUMMYFUNCTION("""COMPUTED_VALUE"""),8725)</f>
        <v>8725</v>
      </c>
    </row>
    <row r="419" spans="1:6" ht="44.25" customHeight="1" x14ac:dyDescent="0.2">
      <c r="A419" s="4" t="str">
        <f ca="1">IFERROR(__xludf.DUMMYFUNCTION("""COMPUTED_VALUE"""),"«ДАЛИОН: Управление магазином 2.0»")</f>
        <v>«ДАЛИОН: Управление магазином 2.0»</v>
      </c>
      <c r="B419" s="4" t="str">
        <f ca="1">IFERROR(__xludf.DUMMYFUNCTION("""COMPUTED_VALUE"""),"с ЕГАИС (без CheckMark2), МЕГАМАРКЕТ")</f>
        <v>с ЕГАИС (без CheckMark2), МЕГАМАРКЕТ</v>
      </c>
      <c r="C419" s="4" t="str">
        <f ca="1">IFERROR(__xludf.DUMMYFUNCTION("""COMPUTED_VALUE"""),"UP2-RTL15CEV-DALIONUM20")</f>
        <v>UP2-RTL15CEV-DALIONUM20</v>
      </c>
      <c r="D419" s="4" t="str">
        <f ca="1">IFERROR(__xludf.DUMMYFUNCTION("""COMPUTED_VALUE"""),"Переход на 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"&amp;"ОНЛАЙН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колле"&amp;"ктивная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и обмен через Интернет на 1 (один) год")</f>
        <v>Переход на 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9" s="4" t="str">
        <f ca="1">IFERROR(__xludf.DUMMYFUNCTION("""COMPUTED_VALUE"""),"Переход на 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</v>
      </c>
      <c r="F419" s="5">
        <f ca="1">IFERROR(__xludf.DUMMYFUNCTION("""COMPUTED_VALUE"""),11925)</f>
        <v>11925</v>
      </c>
    </row>
    <row r="420" spans="1:6" ht="44.25" customHeight="1" x14ac:dyDescent="0.2">
      <c r="A420" s="4" t="str">
        <f ca="1">IFERROR(__xludf.DUMMYFUNCTION("""COMPUTED_VALUE"""),"«ДАЛИОН: Управление магазином 2.0»")</f>
        <v>«ДАЛИОН: Управление магазином 2.0»</v>
      </c>
      <c r="B420" s="4" t="str">
        <f ca="1">IFERROR(__xludf.DUMMYFUNCTION("""COMPUTED_VALUE"""),"с МОТП, БАЗОВЫЙ")</f>
        <v>с МОТП, БАЗОВЫЙ</v>
      </c>
      <c r="C420" s="4" t="str">
        <f ca="1">IFERROR(__xludf.DUMMYFUNCTION("""COMPUTED_VALUE"""),"UP2-RTL15AT-DALIONUM20")</f>
        <v>UP2-RTL15AT-DALIONUM20</v>
      </c>
      <c r="D420" s="4" t="str">
        <f ca="1">IFERROR(__xludf.DUMMYFUNCTION("""COMPUTED_VALUE"""),"Переход на Mobile SMARTS: Магазин 15 с МОТП, БАЗОВЫЙ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п"&amp;"оступление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0" s="4" t="str">
        <f ca="1">IFERROR(__xludf.DUMMYFUNCTION("""COMPUTED_VALUE"""),"Переход на Mobile SMARTS: Магазин 15 с МОТП, БАЗОВЫЙ для «ДАЛИОН: Управление магазином 2.0»")</f>
        <v>Переход на Mobile SMARTS: Магазин 15 с МОТП, БАЗОВЫЙ для «ДАЛИОН: Управление магазином 2.0»</v>
      </c>
      <c r="F420" s="5">
        <f ca="1">IFERROR(__xludf.DUMMYFUNCTION("""COMPUTED_VALUE"""),5575)</f>
        <v>5575</v>
      </c>
    </row>
    <row r="421" spans="1:6" ht="44.25" customHeight="1" x14ac:dyDescent="0.2">
      <c r="A421" s="4" t="str">
        <f ca="1">IFERROR(__xludf.DUMMYFUNCTION("""COMPUTED_VALUE"""),"«ДАЛИОН: Управление магазином 2.0»")</f>
        <v>«ДАЛИОН: Управление магазином 2.0»</v>
      </c>
      <c r="B421" s="4" t="str">
        <f ca="1">IFERROR(__xludf.DUMMYFUNCTION("""COMPUTED_VALUE"""),"с МОТП, РАСШИРЕННЫЙ")</f>
        <v>с МОТП, РАСШИРЕННЫЙ</v>
      </c>
      <c r="C421" s="4" t="str">
        <f ca="1">IFERROR(__xludf.DUMMYFUNCTION("""COMPUTED_VALUE"""),"UP2-RTL15BT-DALIONUM20")</f>
        <v>UP2-RTL15BT-DALIONUM20</v>
      </c>
      <c r="D421" s="4" t="str">
        <f ca="1">IFERROR(__xludf.DUMMYFUNCTION("""COMPUTED_VALUE"""),"Переход на Mobile SMARTS: Магазин 15 с МОТП, РАСШИРЕННЫЙ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операци"&amp;"и: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Переход на Mobile SMARTS: Магазин 15 с МОТП, РАСШИРЕННЫЙ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1" s="4" t="str">
        <f ca="1">IFERROR(__xludf.DUMMYFUNCTION("""COMPUTED_VALUE"""),"Переход на Mobile SMARTS: Магазин 15 с МОТП, РАСШИРЕННЫЙ для «ДАЛИОН: Управление магазином 2.0»")</f>
        <v>Переход на Mobile SMARTS: Магазин 15 с МОТП, РАСШИРЕННЫЙ для «ДАЛИОН: Управление магазином 2.0»</v>
      </c>
      <c r="F421" s="5">
        <f ca="1">IFERROR(__xludf.DUMMYFUNCTION("""COMPUTED_VALUE"""),8725)</f>
        <v>8725</v>
      </c>
    </row>
    <row r="422" spans="1:6" ht="44.25" customHeight="1" x14ac:dyDescent="0.2">
      <c r="A422" s="4" t="str">
        <f ca="1">IFERROR(__xludf.DUMMYFUNCTION("""COMPUTED_VALUE"""),"«ДАЛИОН: Управление магазином 2.0»")</f>
        <v>«ДАЛИОН: Управление магазином 2.0»</v>
      </c>
      <c r="B422" s="4" t="str">
        <f ca="1">IFERROR(__xludf.DUMMYFUNCTION("""COMPUTED_VALUE"""),"с МОТП, МЕГАМАРКЕТ")</f>
        <v>с МОТП, МЕГАМАРКЕТ</v>
      </c>
      <c r="C422" s="4" t="str">
        <f ca="1">IFERROR(__xludf.DUMMYFUNCTION("""COMPUTED_VALUE"""),"UP2-RTL15CT-DALIONUM20")</f>
        <v>UP2-RTL15CT-DALIONUM20</v>
      </c>
      <c r="D422" s="4" t="str">
        <f ca="1">IFERROR(__xludf.DUMMYFUNCTION("""COMPUTED_VALUE"""),"Переход на Mobile SMARTS: Магазин 15 с МОТП, МЕГАМАРКЕТ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операции"&amp;":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возможност"&amp;"и: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"&amp;"Интернет на 1 (один) год")</f>
        <v>Переход на Mobile SMARTS: Магазин 15 с МОТП, МЕГАМАРКЕТ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2" s="4" t="str">
        <f ca="1">IFERROR(__xludf.DUMMYFUNCTION("""COMPUTED_VALUE"""),"Переход на Mobile SMARTS: Магазин 15 с МОТП, МЕГАМАРКЕТ для «ДАЛИОН: Управление магазином 2.0»")</f>
        <v>Переход на Mobile SMARTS: Магазин 15 с МОТП, МЕГАМАРКЕТ для «ДАЛИОН: Управление магазином 2.0»</v>
      </c>
      <c r="F422" s="5">
        <f ca="1">IFERROR(__xludf.DUMMYFUNCTION("""COMPUTED_VALUE"""),11925)</f>
        <v>11925</v>
      </c>
    </row>
    <row r="423" spans="1:6" ht="44.25" customHeight="1" x14ac:dyDescent="0.2">
      <c r="A423" s="4" t="str">
        <f ca="1">IFERROR(__xludf.DUMMYFUNCTION("""COMPUTED_VALUE"""),"«ДАЛИОН: Управление магазином 2.0»")</f>
        <v>«ДАЛИОН: Управление магазином 2.0»</v>
      </c>
      <c r="B423" s="4" t="str">
        <f ca="1">IFERROR(__xludf.DUMMYFUNCTION("""COMPUTED_VALUE"""),"с ЕГАИС и МОТП, БАЗОВЫЙ")</f>
        <v>с ЕГАИС и МОТП, БАЗОВЫЙ</v>
      </c>
      <c r="C423" s="4" t="str">
        <f ca="1">IFERROR(__xludf.DUMMYFUNCTION("""COMPUTED_VALUE"""),"UP2-RTL15AET-DALIONUM20")</f>
        <v>UP2-RTL15AET-DALIONUM20</v>
      </c>
      <c r="D423" s="4" t="str">
        <f ca="1">IFERROR(__xludf.DUMMYFUNCTION("""COMPUTED_VALUE"""),"Переход на Mobile SMARTS: Магазин 15 с ЕГАИС и МОТП, БАЗОВЫЙ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дос"&amp;"тупные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перемещен"&amp;"ие,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"&amp;"операций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3" s="4" t="str">
        <f ca="1">IFERROR(__xludf.DUMMYFUNCTION("""COMPUTED_VALUE"""),"Переход на Mobile SMARTS: Магазин 15 с ЕГАИС и МОТП, БАЗОВЫЙ для «ДАЛИОН: Управление магазином 2.0»")</f>
        <v>Переход на Mobile SMARTS: Магазин 15 с ЕГАИС и МОТП, БАЗОВЫЙ для «ДАЛИОН: Управление магазином 2.0»</v>
      </c>
      <c r="F423" s="5">
        <f ca="1">IFERROR(__xludf.DUMMYFUNCTION("""COMPUTED_VALUE"""),6075)</f>
        <v>6075</v>
      </c>
    </row>
    <row r="424" spans="1:6" ht="44.25" customHeight="1" x14ac:dyDescent="0.2">
      <c r="A424" s="4" t="str">
        <f ca="1">IFERROR(__xludf.DUMMYFUNCTION("""COMPUTED_VALUE"""),"«ДАЛИОН: Управление магазином 2.0»")</f>
        <v>«ДАЛИОН: Управление магазином 2.0»</v>
      </c>
      <c r="B424" s="4" t="str">
        <f ca="1">IFERROR(__xludf.DUMMYFUNCTION("""COMPUTED_VALUE"""),"с ЕГАИС и МОТП, РАСШИРЕННЫЙ")</f>
        <v>с ЕГАИС и МОТП, РАСШИРЕННЫЙ</v>
      </c>
      <c r="C424" s="4" t="str">
        <f ca="1">IFERROR(__xludf.DUMMYFUNCTION("""COMPUTED_VALUE"""),"UP2-RTL15BET-DALIONUM20")</f>
        <v>UP2-RTL15BET-DALIONUM20</v>
      </c>
      <c r="D424" s="4" t="str">
        <f ca="1">IFERROR(__xludf.DUMMYFUNCTION("""COMPUTED_VALUE"""),"Переход на Mobile SMARTS: Магазин 15 с ЕГАИС и МОТП, РАСШИРЕННЫЙ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4" s="4" t="str">
        <f ca="1">IFERROR(__xludf.DUMMYFUNCTION("""COMPUTED_VALUE"""),"Переход на Mobile SMARTS: Магазин 15 с ЕГАИС и МОТП, РАСШИРЕННЫЙ для «ДАЛИОН: Управление магазином 2.0»")</f>
        <v>Переход на Mobile SMARTS: Магазин 15 с ЕГАИС и МОТП, РАСШИРЕННЫЙ для «ДАЛИОН: Управление магазином 2.0»</v>
      </c>
      <c r="F424" s="5">
        <f ca="1">IFERROR(__xludf.DUMMYFUNCTION("""COMPUTED_VALUE"""),9275)</f>
        <v>9275</v>
      </c>
    </row>
    <row r="425" spans="1:6" ht="44.25" customHeight="1" x14ac:dyDescent="0.2">
      <c r="A425" s="4" t="str">
        <f ca="1">IFERROR(__xludf.DUMMYFUNCTION("""COMPUTED_VALUE"""),"«ДАЛИОН: Управление магазином 2.0»")</f>
        <v>«ДАЛИОН: Управление магазином 2.0»</v>
      </c>
      <c r="B425" s="4" t="str">
        <f ca="1">IFERROR(__xludf.DUMMYFUNCTION("""COMPUTED_VALUE"""),"с ЕГАИС и МОТП, МЕГАМАРКЕТ")</f>
        <v>с ЕГАИС и МОТП, МЕГАМАРКЕТ</v>
      </c>
      <c r="C425" s="4" t="str">
        <f ca="1">IFERROR(__xludf.DUMMYFUNCTION("""COMPUTED_VALUE"""),"UP2-RTL15CET-DALIONUM20")</f>
        <v>UP2-RTL15CET-DALIONUM20</v>
      </c>
      <c r="D425" s="4" t="str">
        <f ca="1">IFERROR(__xludf.DUMMYFUNCTION("""COMPUTED_VALUE"""),"Переход на Mobile SMARTS: Магазин 15 с ЕГАИС и МОТП, МЕГАМАРКЕТ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 "&amp;"доступные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переме"&amp;"щение,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5" s="4" t="str">
        <f ca="1">IFERROR(__xludf.DUMMYFUNCTION("""COMPUTED_VALUE"""),"Переход на Mobile SMARTS: Магазин 15 с ЕГАИС и МОТП, МЕГАМАРКЕТ для «ДАЛИОН: Управление магазином 2.0»")</f>
        <v>Переход на Mobile SMARTS: Магазин 15 с ЕГАИС и МОТП, МЕГАМАРКЕТ для «ДАЛИОН: Управление магазином 2.0»</v>
      </c>
      <c r="F425" s="5">
        <f ca="1">IFERROR(__xludf.DUMMYFUNCTION("""COMPUTED_VALUE"""),13175)</f>
        <v>13175</v>
      </c>
    </row>
    <row r="426" spans="1:6" ht="44.25" customHeight="1" x14ac:dyDescent="0.2">
      <c r="A426" s="4" t="str">
        <f ca="1">IFERROR(__xludf.DUMMYFUNCTION("""COMPUTED_VALUE"""),"«ДАЛИОН: Управление магазином 2.0»")</f>
        <v>«ДАЛИОН: Управление магазином 2.0»</v>
      </c>
      <c r="B426" s="4" t="str">
        <f ca="1">IFERROR(__xludf.DUMMYFUNCTION("""COMPUTED_VALUE"""),"ШМОТКИ, БАЗОВЫЙ")</f>
        <v>ШМОТКИ, БАЗОВЫЙ</v>
      </c>
      <c r="C426" s="4" t="str">
        <f ca="1">IFERROR(__xludf.DUMMYFUNCTION("""COMPUTED_VALUE"""),"UP2-RTL15AK-DALIONUM20")</f>
        <v>UP2-RTL15AK-DALIONUM20</v>
      </c>
      <c r="D426" s="4" t="str">
        <f ca="1">IFERROR(__xludf.DUMMYFUNCTION("""COMPUTED_VALUE"""),"Переход на 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Ин"&amp;"тернет на 1 (один) год")</f>
        <v>Переход на 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6" s="4" t="str">
        <f ca="1">IFERROR(__xludf.DUMMYFUNCTION("""COMPUTED_VALUE"""),"Переход на 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</v>
      </c>
      <c r="F426" s="5">
        <f ca="1">IFERROR(__xludf.DUMMYFUNCTION("""COMPUTED_VALUE"""),6075)</f>
        <v>6075</v>
      </c>
    </row>
    <row r="427" spans="1:6" ht="44.25" customHeight="1" x14ac:dyDescent="0.2">
      <c r="A427" s="4" t="str">
        <f ca="1">IFERROR(__xludf.DUMMYFUNCTION("""COMPUTED_VALUE"""),"«ДАЛИОН: Управление магазином 2.0»")</f>
        <v>«ДАЛИОН: Управление магазином 2.0»</v>
      </c>
      <c r="B427" s="4" t="str">
        <f ca="1">IFERROR(__xludf.DUMMYFUNCTION("""COMPUTED_VALUE"""),"ШМОТКИ, РАСШИРЕННЫЙ")</f>
        <v>ШМОТКИ, РАСШИРЕННЫЙ</v>
      </c>
      <c r="C427" s="4" t="str">
        <f ca="1">IFERROR(__xludf.DUMMYFUNCTION("""COMPUTED_VALUE"""),"UP2-RTL15BK-DALIONUM20")</f>
        <v>UP2-RTL15BK-DALIONUM20</v>
      </c>
      <c r="D427" s="4" t="str">
        <f ca="1">IFERROR(__xludf.DUMMYFUNCTION("""COMPUTED_VALUE"""),"Переход на 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Переход на 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7" s="4" t="str">
        <f ca="1">IFERROR(__xludf.DUMMYFUNCTION("""COMPUTED_VALUE"""),"Переход на 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</v>
      </c>
      <c r="F427" s="5">
        <f ca="1">IFERROR(__xludf.DUMMYFUNCTION("""COMPUTED_VALUE"""),9275)</f>
        <v>9275</v>
      </c>
    </row>
    <row r="428" spans="1:6" ht="44.25" customHeight="1" x14ac:dyDescent="0.2">
      <c r="A428" s="4" t="str">
        <f ca="1">IFERROR(__xludf.DUMMYFUNCTION("""COMPUTED_VALUE"""),"«ДАЛИОН: Управление магазином 2.0»")</f>
        <v>«ДАЛИОН: Управление магазином 2.0»</v>
      </c>
      <c r="B428" s="4" t="str">
        <f ca="1">IFERROR(__xludf.DUMMYFUNCTION("""COMPUTED_VALUE"""),"ШМОТКИ, МЕГАМАРКЕТ")</f>
        <v>ШМОТКИ, МЕГАМАРКЕТ</v>
      </c>
      <c r="C428" s="4" t="str">
        <f ca="1">IFERROR(__xludf.DUMMYFUNCTION("""COMPUTED_VALUE"""),"UP2-RTL15CK-DALIONUM20")</f>
        <v>UP2-RTL15CK-DALIONUM20</v>
      </c>
      <c r="D428" s="4" t="str">
        <f ca="1">IFERROR(__xludf.DUMMYFUNCTION("""COMPUTED_VALUE"""),"Переход на 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Переход на 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8" s="4" t="str">
        <f ca="1">IFERROR(__xludf.DUMMYFUNCTION("""COMPUTED_VALUE"""),"Переход на 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</v>
      </c>
      <c r="F428" s="5">
        <f ca="1">IFERROR(__xludf.DUMMYFUNCTION("""COMPUTED_VALUE"""),13175)</f>
        <v>13175</v>
      </c>
    </row>
    <row r="429" spans="1:6" ht="44.25" customHeight="1" x14ac:dyDescent="0.2">
      <c r="A429" s="4" t="str">
        <f ca="1">IFERROR(__xludf.DUMMYFUNCTION("""COMPUTED_VALUE"""),"«ДАЛИОН: Управление магазином 2.0»")</f>
        <v>«ДАЛИОН: Управление магазином 2.0»</v>
      </c>
      <c r="B429" s="4" t="str">
        <f ca="1">IFERROR(__xludf.DUMMYFUNCTION("""COMPUTED_VALUE"""),"ПРОДУКТОВЫЙ, БАЗОВЫЙ")</f>
        <v>ПРОДУКТОВЫЙ, БАЗОВЫЙ</v>
      </c>
      <c r="C429" s="4" t="str">
        <f ca="1">IFERROR(__xludf.DUMMYFUNCTION("""COMPUTED_VALUE"""),"UP2-RTL15AG-DALIONUM20")</f>
        <v>UP2-RTL15AG-DALIONUM20</v>
      </c>
      <c r="D429" s="4" t="str">
        <f ca="1">IFERROR(__xludf.DUMMYFUNCTION("""COMPUTED_VALUE"""),"Переход на 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беспроводной"&amp;"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под"&amp;"бор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остатка"&amp;"х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9" s="4" t="str">
        <f ca="1">IFERROR(__xludf.DUMMYFUNCTION("""COMPUTED_VALUE"""),"Переход на 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</v>
      </c>
      <c r="F429" s="5">
        <f ca="1">IFERROR(__xludf.DUMMYFUNCTION("""COMPUTED_VALUE"""),7275)</f>
        <v>7275</v>
      </c>
    </row>
    <row r="430" spans="1:6" ht="44.25" customHeight="1" x14ac:dyDescent="0.2">
      <c r="A430" s="4" t="str">
        <f ca="1">IFERROR(__xludf.DUMMYFUNCTION("""COMPUTED_VALUE"""),"«ДАЛИОН: Управление магазином 2.0»")</f>
        <v>«ДАЛИОН: Управление магазином 2.0»</v>
      </c>
      <c r="B430" s="4" t="str">
        <f ca="1">IFERROR(__xludf.DUMMYFUNCTION("""COMPUTED_VALUE"""),"ПРОДУКТОВЫЙ, РАСШИРЕННЫЙ")</f>
        <v>ПРОДУКТОВЫЙ, РАСШИРЕННЫЙ</v>
      </c>
      <c r="C430" s="4" t="str">
        <f ca="1">IFERROR(__xludf.DUMMYFUNCTION("""COMPUTED_VALUE"""),"UP2-RTL15BG-DALIONUM20")</f>
        <v>UP2-RTL15BG-DALIONUM20</v>
      </c>
      <c r="D430" s="4" t="str">
        <f ca="1">IFERROR(__xludf.DUMMYFUNCTION("""COMPUTED_VALUE"""),"Переход на 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беспрово"&amp;"дной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возврат,"&amp;"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ост"&amp;"атках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0" s="4" t="str">
        <f ca="1">IFERROR(__xludf.DUMMYFUNCTION("""COMPUTED_VALUE"""),"Переход на 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</v>
      </c>
      <c r="F430" s="5">
        <f ca="1">IFERROR(__xludf.DUMMYFUNCTION("""COMPUTED_VALUE"""),10475)</f>
        <v>10475</v>
      </c>
    </row>
    <row r="431" spans="1:6" ht="44.25" customHeight="1" x14ac:dyDescent="0.2">
      <c r="A431" s="4" t="str">
        <f ca="1">IFERROR(__xludf.DUMMYFUNCTION("""COMPUTED_VALUE"""),"«ДАЛИОН: Управление магазином 2.0»")</f>
        <v>«ДАЛИОН: Управление магазином 2.0»</v>
      </c>
      <c r="B431" s="4" t="str">
        <f ca="1">IFERROR(__xludf.DUMMYFUNCTION("""COMPUTED_VALUE"""),"ПРОДУКТОВЫЙ, МЕГАМАРКЕТ")</f>
        <v>ПРОДУКТОВЫЙ, МЕГАМАРКЕТ</v>
      </c>
      <c r="C431" s="4" t="str">
        <f ca="1">IFERROR(__xludf.DUMMYFUNCTION("""COMPUTED_VALUE"""),"UP2-RTL15CG-DALIONUM20")</f>
        <v>UP2-RTL15CG-DALIONUM20</v>
      </c>
      <c r="D431" s="4" t="str">
        <f ca="1">IFERROR(__xludf.DUMMYFUNCTION("""COMPUTED_VALUE"""),"Переход на 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беспровод"&amp;"ной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"&amp;"подбор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склада"&amp;"х,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1" s="4" t="str">
        <f ca="1">IFERROR(__xludf.DUMMYFUNCTION("""COMPUTED_VALUE"""),"Переход на 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</v>
      </c>
      <c r="F431" s="5">
        <f ca="1">IFERROR(__xludf.DUMMYFUNCTION("""COMPUTED_VALUE"""),14125)</f>
        <v>14125</v>
      </c>
    </row>
    <row r="432" spans="1:6" ht="44.25" customHeight="1" x14ac:dyDescent="0.2">
      <c r="A432" s="4" t="str">
        <f ca="1">IFERROR(__xludf.DUMMYFUNCTION("""COMPUTED_VALUE"""),"#REF!")</f>
        <v>#REF!</v>
      </c>
      <c r="B432" s="4" t="str">
        <f ca="1">IFERROR(__xludf.DUMMYFUNCTION("""COMPUTED_VALUE"""),"#REF!")</f>
        <v>#REF!</v>
      </c>
      <c r="C432" s="4" t="str">
        <f ca="1">IFERROR(__xludf.DUMMYFUNCTION("""COMPUTED_VALUE"""),"#REF!")</f>
        <v>#REF!</v>
      </c>
      <c r="D432" s="4" t="str">
        <f ca="1">IFERROR(__xludf.DUMMYFUNCTION("""COMPUTED_VALUE"""),"#REF!")</f>
        <v>#REF!</v>
      </c>
      <c r="E432" s="4" t="str">
        <f ca="1">IFERROR(__xludf.DUMMYFUNCTION("""COMPUTED_VALUE"""),"#REF!")</f>
        <v>#REF!</v>
      </c>
      <c r="F432" s="4" t="str">
        <f ca="1">IFERROR(__xludf.DUMMYFUNCTION("""COMPUTED_VALUE"""),"#REF!")</f>
        <v>#REF!</v>
      </c>
    </row>
    <row r="433" spans="1:6" ht="44.25" customHeight="1" x14ac:dyDescent="0.2">
      <c r="A433" s="4" t="str">
        <f ca="1">IFERROR(__xludf.DUMMYFUNCTION("""COMPUTED_VALUE"""),"#REF!")</f>
        <v>#REF!</v>
      </c>
      <c r="B433" s="4" t="str">
        <f ca="1">IFERROR(__xludf.DUMMYFUNCTION("""COMPUTED_VALUE"""),"#REF!")</f>
        <v>#REF!</v>
      </c>
      <c r="C433" s="4" t="str">
        <f ca="1">IFERROR(__xludf.DUMMYFUNCTION("""COMPUTED_VALUE"""),"#REF!")</f>
        <v>#REF!</v>
      </c>
      <c r="D433" s="4" t="str">
        <f ca="1">IFERROR(__xludf.DUMMYFUNCTION("""COMPUTED_VALUE"""),"#REF!")</f>
        <v>#REF!</v>
      </c>
      <c r="E433" s="4" t="str">
        <f ca="1">IFERROR(__xludf.DUMMYFUNCTION("""COMPUTED_VALUE"""),"#REF!")</f>
        <v>#REF!</v>
      </c>
      <c r="F433" s="4" t="str">
        <f ca="1">IFERROR(__xludf.DUMMYFUNCTION("""COMPUTED_VALUE"""),"#REF!")</f>
        <v>#REF!</v>
      </c>
    </row>
    <row r="434" spans="1:6" ht="44.25" customHeight="1" x14ac:dyDescent="0.2">
      <c r="A434" s="4" t="str">
        <f ca="1">IFERROR(__xludf.DUMMYFUNCTION("""COMPUTED_VALUE"""),"#REF!")</f>
        <v>#REF!</v>
      </c>
      <c r="B434" s="4" t="str">
        <f ca="1">IFERROR(__xludf.DUMMYFUNCTION("""COMPUTED_VALUE"""),"#REF!")</f>
        <v>#REF!</v>
      </c>
      <c r="C434" s="4" t="str">
        <f ca="1">IFERROR(__xludf.DUMMYFUNCTION("""COMPUTED_VALUE"""),"#REF!")</f>
        <v>#REF!</v>
      </c>
      <c r="D434" s="4" t="str">
        <f ca="1">IFERROR(__xludf.DUMMYFUNCTION("""COMPUTED_VALUE"""),"#REF!")</f>
        <v>#REF!</v>
      </c>
      <c r="E434" s="4" t="str">
        <f ca="1">IFERROR(__xludf.DUMMYFUNCTION("""COMPUTED_VALUE"""),"#REF!")</f>
        <v>#REF!</v>
      </c>
      <c r="F434" s="4" t="str">
        <f ca="1">IFERROR(__xludf.DUMMYFUNCTION("""COMPUTED_VALUE"""),"#REF!")</f>
        <v>#REF!</v>
      </c>
    </row>
    <row r="435" spans="1:6" ht="44.25" customHeight="1" x14ac:dyDescent="0.2">
      <c r="A435" s="4" t="str">
        <f ca="1">IFERROR(__xludf.DUMMYFUNCTION("""COMPUTED_VALUE"""),"«Трактиръ: Head-Office 1.0»")</f>
        <v>«Трактиръ: Head-Office 1.0»</v>
      </c>
      <c r="B435" s="4" t="str">
        <f ca="1">IFERROR(__xludf.DUMMYFUNCTION("""COMPUTED_VALUE"""),"МИНИМУМ")</f>
        <v>МИНИМУМ</v>
      </c>
      <c r="C435" s="4" t="str">
        <f ca="1">IFERROR(__xludf.DUMMYFUNCTION("""COMPUTED_VALUE"""),"UP2-RTL15M-HEADOFFICE10")</f>
        <v>UP2-RTL15M-HEADOFFICE10</v>
      </c>
      <c r="D435" s="4" t="str">
        <f ca="1">IFERROR(__xludf.DUMMYFUNCTION("""COMPUTED_VALUE"""),"Переход на Mobile SMARTS: Магазин 15, МИНИМУМ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тов"&amp;"аров,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"&amp;"(один) год")</f>
        <v>Переход на Mobile SMARTS: Магазин 15, МИНИМУМ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35" s="4" t="str">
        <f ca="1">IFERROR(__xludf.DUMMYFUNCTION("""COMPUTED_VALUE"""),"Переход на Mobile SMARTS: Магазин 15, МИНИМУМ для «Трактиръ: Head-Office 1.0», для работы с товаром по штрихкодам ")</f>
        <v xml:space="preserve">Переход на Mobile SMARTS: Магазин 15, МИНИМУМ для «Трактиръ: Head-Office 1.0», для работы с товаром по штрихкодам </v>
      </c>
      <c r="F435" s="5">
        <f ca="1">IFERROR(__xludf.DUMMYFUNCTION("""COMPUTED_VALUE"""),1725)</f>
        <v>1725</v>
      </c>
    </row>
    <row r="436" spans="1:6" ht="44.25" customHeight="1" x14ac:dyDescent="0.2">
      <c r="A436" s="4" t="str">
        <f ca="1">IFERROR(__xludf.DUMMYFUNCTION("""COMPUTED_VALUE"""),"«Трактиръ: Head-Office 1.0»")</f>
        <v>«Трактиръ: Head-Office 1.0»</v>
      </c>
      <c r="B436" s="4" t="str">
        <f ca="1">IFERROR(__xludf.DUMMYFUNCTION("""COMPUTED_VALUE"""),"БАЗОВЫЙ")</f>
        <v>БАЗОВЫЙ</v>
      </c>
      <c r="C436" s="4" t="str">
        <f ca="1">IFERROR(__xludf.DUMMYFUNCTION("""COMPUTED_VALUE"""),"UP2-RTL15A-HEADOFFICE10")</f>
        <v>UP2-RTL15A-HEADOFFICE10</v>
      </c>
      <c r="D436" s="4" t="str">
        <f ca="1">IFERROR(__xludf.DUMMYFUNCTION("""COMPUTED_VALUE"""),"Переход на Mobile SMARTS: Магазин 15, БАЗОВЫЙ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сущес"&amp;"твующих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6" s="4" t="str">
        <f ca="1">IFERROR(__xludf.DUMMYFUNCTION("""COMPUTED_VALUE"""),"Переход на Mobile SMARTS: Магазин 15, БАЗОВЫЙ для «Трактиръ: Head-Office 1.0», для работы с товаром по штрихкодам ")</f>
        <v xml:space="preserve">Переход на Mobile SMARTS: Магазин 15, БАЗОВЫЙ для «Трактиръ: Head-Office 1.0», для работы с товаром по штрихкодам </v>
      </c>
      <c r="F436" s="5">
        <f ca="1">IFERROR(__xludf.DUMMYFUNCTION("""COMPUTED_VALUE"""),4325)</f>
        <v>4325</v>
      </c>
    </row>
    <row r="437" spans="1:6" ht="44.25" customHeight="1" x14ac:dyDescent="0.2">
      <c r="A437" s="4" t="str">
        <f ca="1">IFERROR(__xludf.DUMMYFUNCTION("""COMPUTED_VALUE"""),"«Трактиръ: Head-Office 1.0»")</f>
        <v>«Трактиръ: Head-Office 1.0»</v>
      </c>
      <c r="B437" s="4" t="str">
        <f ca="1">IFERROR(__xludf.DUMMYFUNCTION("""COMPUTED_VALUE"""),"РАСШИРЕННЫЙ")</f>
        <v>РАСШИРЕННЫЙ</v>
      </c>
      <c r="C437" s="4" t="str">
        <f ca="1">IFERROR(__xludf.DUMMYFUNCTION("""COMPUTED_VALUE"""),"UP2-RTL15B-HEADOFFICE10")</f>
        <v>UP2-RTL15B-HEADOFFICE10</v>
      </c>
      <c r="D437" s="4" t="str">
        <f ca="1">IFERROR(__xludf.DUMMYFUNCTION("""COMPUTED_VALUE"""),"Переход на Mobile SMARTS: Магазин 15, РАСШИРЕННЫЙ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7" s="4" t="str">
        <f ca="1">IFERROR(__xludf.DUMMYFUNCTION("""COMPUTED_VALUE"""),"Переход на Mobile SMARTS: Магазин 15, РАСШИРЕННЫЙ для «Трактиръ: Head-Office 1.0», для работы с товаром по штрихкодам ")</f>
        <v xml:space="preserve">Переход на Mobile SMARTS: Магазин 15, РАСШИРЕННЫЙ для «Трактиръ: Head-Office 1.0», для работы с товаром по штрихкодам </v>
      </c>
      <c r="F437" s="5">
        <f ca="1">IFERROR(__xludf.DUMMYFUNCTION("""COMPUTED_VALUE"""),7525)</f>
        <v>7525</v>
      </c>
    </row>
    <row r="438" spans="1:6" ht="44.25" customHeight="1" x14ac:dyDescent="0.2">
      <c r="A438" s="4" t="str">
        <f ca="1">IFERROR(__xludf.DUMMYFUNCTION("""COMPUTED_VALUE"""),"«Трактиръ: Head-Office 1.0»")</f>
        <v>«Трактиръ: Head-Office 1.0»</v>
      </c>
      <c r="B438" s="4" t="str">
        <f ca="1">IFERROR(__xludf.DUMMYFUNCTION("""COMPUTED_VALUE"""),"МЕГАМАРКЕТ")</f>
        <v>МЕГАМАРКЕТ</v>
      </c>
      <c r="C438" s="4" t="str">
        <f ca="1">IFERROR(__xludf.DUMMYFUNCTION("""COMPUTED_VALUE"""),"UP2-RTL15C-HEADOFFICE10")</f>
        <v>UP2-RTL15C-HEADOFFICE10</v>
      </c>
      <c r="D438" s="4" t="str">
        <f ca="1">IFERROR(__xludf.DUMMYFUNCTION("""COMPUTED_VALUE"""),"Переход на Mobile SMARTS: Магазин 15, МЕГАМАРКЕТ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(в"&amp;"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"&amp;"экране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8" s="4" t="str">
        <f ca="1">IFERROR(__xludf.DUMMYFUNCTION("""COMPUTED_VALUE"""),"Переход на Mobile SMARTS: Магазин 15, МЕГАМАРКЕТ для «Трактиръ: Head-Office 1.0», для работы с товаром по штрихкодам ")</f>
        <v xml:space="preserve">Переход на Mobile SMARTS: Магазин 15, МЕГАМАРКЕТ для «Трактиръ: Head-Office 1.0», для работы с товаром по штрихкодам </v>
      </c>
      <c r="F438" s="5">
        <f ca="1">IFERROR(__xludf.DUMMYFUNCTION("""COMPUTED_VALUE"""),10775)</f>
        <v>10775</v>
      </c>
    </row>
    <row r="439" spans="1:6" ht="44.25" customHeight="1" x14ac:dyDescent="0.2">
      <c r="A439" s="4" t="str">
        <f ca="1">IFERROR(__xludf.DUMMYFUNCTION("""COMPUTED_VALUE"""),"«Трактиръ: Head-Office 1.0»")</f>
        <v>«Трактиръ: Head-Office 1.0»</v>
      </c>
      <c r="B439" s="4" t="str">
        <f ca="1">IFERROR(__xludf.DUMMYFUNCTION("""COMPUTED_VALUE"""),"с ЕГАИС, БАЗОВЫЙ")</f>
        <v>с ЕГАИС, БАЗОВЫЙ</v>
      </c>
      <c r="C439" s="4" t="str">
        <f ca="1">IFERROR(__xludf.DUMMYFUNCTION("""COMPUTED_VALUE"""),"UP2-RTL15AE-HEADOFFICE10")</f>
        <v>UP2-RTL15AE-HEADOFFICE10</v>
      </c>
      <c r="D439" s="4" t="str">
        <f ca="1">IFERROR(__xludf.DUMMYFUNCTION("""COMPUTED_VALUE"""),"Переход на Mobile SMARTS: Магазин 15 с ЕГАИС, БАЗОВЫЙ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операции"&amp;":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инф"&amp;"ормация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39" s="4" t="str">
        <f ca="1">IFERROR(__xludf.DUMMYFUNCTION("""COMPUTED_VALUE"""),"Переход на Mobile SMARTS: Магазин 15 с ЕГАИС, БАЗОВЫЙ для «Трактиръ: Head-Office 1.0», для работы с маркированным товаром: алкоголь ЕГАИС и товары по штрихкодам ")</f>
        <v xml:space="preserve">Переход на Mobile SMARTS: Магазин 15 с ЕГАИС, БАЗОВЫЙ для «Трактиръ: Head-Office 1.0», для работы с маркированным товаром: алкоголь ЕГАИС и товары по штрихкодам </v>
      </c>
      <c r="F439" s="5">
        <f ca="1">IFERROR(__xludf.DUMMYFUNCTION("""COMPUTED_VALUE"""),5500)</f>
        <v>5500</v>
      </c>
    </row>
    <row r="440" spans="1:6" ht="44.25" customHeight="1" x14ac:dyDescent="0.2">
      <c r="A440" s="4" t="str">
        <f ca="1">IFERROR(__xludf.DUMMYFUNCTION("""COMPUTED_VALUE"""),"«Трактиръ: Head-Office 1.0»")</f>
        <v>«Трактиръ: Head-Office 1.0»</v>
      </c>
      <c r="B440" s="4" t="str">
        <f ca="1">IFERROR(__xludf.DUMMYFUNCTION("""COMPUTED_VALUE"""),"с ЕГАИС, РАСШИРЕННЫЙ")</f>
        <v>с ЕГАИС, РАСШИРЕННЫЙ</v>
      </c>
      <c r="C440" s="4" t="str">
        <f ca="1">IFERROR(__xludf.DUMMYFUNCTION("""COMPUTED_VALUE"""),"UP2-RTL15BE-HEADOFFICE10")</f>
        <v>UP2-RTL15BE-HEADOFFICE10</v>
      </c>
      <c r="D440" s="4" t="str">
        <f ca="1">IFERROR(__xludf.DUMMYFUNCTION("""COMPUTED_VALUE"""),"Переход на Mobile SMARTS: Магазин 15 с ЕГАИС, РАСШИРЕННЫЙ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опер"&amp;"ации: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 с ЕГАИС, РАСШИРЕННЫЙ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0" s="4" t="str">
        <f ca="1">IFERROR(__xludf.DUMMYFUNCTION("""COMPUTED_VALUE"""),"Переход на Mobile SMARTS: Магазин 15 с ЕГАИС, РАСШИРЕННЫЙ для «Трактиръ: Head-Office 1.0», для работы с маркированным товаром: алкоголь ЕГАИС и товары по штрихкодам ")</f>
        <v xml:space="preserve">Переход на Mobile SMARTS: Магазин 15 с ЕГАИС, РАСШИРЕННЫЙ для «Трактиръ: Head-Office 1.0», для работы с маркированным товаром: алкоголь ЕГАИС и товары по штрихкодам </v>
      </c>
      <c r="F440" s="5">
        <f ca="1">IFERROR(__xludf.DUMMYFUNCTION("""COMPUTED_VALUE"""),8725)</f>
        <v>8725</v>
      </c>
    </row>
    <row r="441" spans="1:6" ht="44.25" customHeight="1" x14ac:dyDescent="0.2">
      <c r="A441" s="4" t="str">
        <f ca="1">IFERROR(__xludf.DUMMYFUNCTION("""COMPUTED_VALUE"""),"«Трактиръ: Head-Office 1.0»")</f>
        <v>«Трактиръ: Head-Office 1.0»</v>
      </c>
      <c r="B441" s="4" t="str">
        <f ca="1">IFERROR(__xludf.DUMMYFUNCTION("""COMPUTED_VALUE"""),"с ЕГАИС (без CheckMark2), МЕГАМАРКЕТ")</f>
        <v>с ЕГАИС (без CheckMark2), МЕГАМАРКЕТ</v>
      </c>
      <c r="C441" s="4" t="str">
        <f ca="1">IFERROR(__xludf.DUMMYFUNCTION("""COMPUTED_VALUE"""),"UP2-RTL15CEV-HEADOFFICE10")</f>
        <v>UP2-RTL15CEV-HEADOFFICE10</v>
      </c>
      <c r="D441" s="4" t="str">
        <f ca="1">IFERROR(__xludf.DUMMYFUNCTION("""COMPUTED_VALUE"""),"Переход на Mobile SMARTS: Магазин 15 с ЕГАИС (без CheckMark2), МЕГАМАРКЕТ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"&amp;"/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коллективная"&amp;"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и"&amp;" обмен через Интернет на 1 (один) год")</f>
        <v>Переход на Mobile SMARTS: Магазин 15 с ЕГАИС (без CheckMark2), МЕГАМАРКЕТ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1" s="4" t="str">
        <f ca="1">IFERROR(__xludf.DUMMYFUNCTION("""COMPUTED_VALUE"""),"Переход на Mobile SMARTS: Магазин 15 с ЕГАИС (без CheckMark2), МЕГАМАРКЕТ для «Трактиръ: Head-Office 1.0»,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«Трактиръ: Head-Office 1.0», для работы с маркированным товаром: алкоголь ЕГАИС и товары по штрихкодам </v>
      </c>
      <c r="F441" s="5">
        <f ca="1">IFERROR(__xludf.DUMMYFUNCTION("""COMPUTED_VALUE"""),11925)</f>
        <v>11925</v>
      </c>
    </row>
    <row r="442" spans="1:6" ht="44.25" customHeight="1" x14ac:dyDescent="0.2">
      <c r="A442" s="4" t="str">
        <f ca="1">IFERROR(__xludf.DUMMYFUNCTION("""COMPUTED_VALUE"""),"«ДАЛИОН: ТРЕНД 1.0»")</f>
        <v>«ДАЛИОН: ТРЕНД 1.0»</v>
      </c>
      <c r="B442" s="4" t="str">
        <f ca="1">IFERROR(__xludf.DUMMYFUNCTION("""COMPUTED_VALUE"""),"МИНИМУМ")</f>
        <v>МИНИМУМ</v>
      </c>
      <c r="C442" s="4" t="str">
        <f ca="1">IFERROR(__xludf.DUMMYFUNCTION("""COMPUTED_VALUE"""),"UP2-RTL15M-DALIONTREND")</f>
        <v>UP2-RTL15M-DALIONTREND</v>
      </c>
      <c r="D442" s="4" t="str">
        <f ca="1">IFERROR(__xludf.DUMMYFUNCTION("""COMPUTED_VALUE"""),"Переход на Mobile SMARTS: Магазин 15, МИНИМУМ для «ДАЛИОН: ТРЕНД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на"&amp;"стройка,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г"&amp;"од")</f>
        <v>Переход на Mobile SMARTS: Магазин 15, МИНИМУМ для «ДАЛИОН: ТРЕНД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42" s="4" t="str">
        <f ca="1">IFERROR(__xludf.DUMMYFUNCTION("""COMPUTED_VALUE"""),"Переход на Mobile SMARTS: Магазин 15, МИНИМУМ для «ДАЛИОН: ТРЕНД 1.0», для работы с товаром по штрихкодам ")</f>
        <v xml:space="preserve">Переход на Mobile SMARTS: Магазин 15, МИНИМУМ для «ДАЛИОН: ТРЕНД 1.0», для работы с товаром по штрихкодам </v>
      </c>
      <c r="F442" s="5">
        <f ca="1">IFERROR(__xludf.DUMMYFUNCTION("""COMPUTED_VALUE"""),1725)</f>
        <v>1725</v>
      </c>
    </row>
    <row r="443" spans="1:6" ht="44.25" customHeight="1" x14ac:dyDescent="0.2">
      <c r="A443" s="4" t="str">
        <f ca="1">IFERROR(__xludf.DUMMYFUNCTION("""COMPUTED_VALUE"""),"«ДАЛИОН: ТРЕНД 1.0»")</f>
        <v>«ДАЛИОН: ТРЕНД 1.0»</v>
      </c>
      <c r="B443" s="4" t="str">
        <f ca="1">IFERROR(__xludf.DUMMYFUNCTION("""COMPUTED_VALUE"""),"БАЗОВЫЙ")</f>
        <v>БАЗОВЫЙ</v>
      </c>
      <c r="C443" s="4" t="str">
        <f ca="1">IFERROR(__xludf.DUMMYFUNCTION("""COMPUTED_VALUE"""),"UP2-RTL15A-DALIONTREND")</f>
        <v>UP2-RTL15A-DALIONTREND</v>
      </c>
      <c r="D443" s="4" t="str">
        <f ca="1">IFERROR(__xludf.DUMMYFUNCTION("""COMPUTED_VALUE"""),"Переход на Mobile SMARTS: Магазин 15, БАЗОВЫЙ для «ДАЛИОН: ТРЕНД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печ"&amp;"атью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"&amp;"операций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«ДАЛИОН: ТРЕНД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3" s="4" t="str">
        <f ca="1">IFERROR(__xludf.DUMMYFUNCTION("""COMPUTED_VALUE"""),"Переход на Mobile SMARTS: Магазин 15, БАЗОВЫЙ для «ДАЛИОН: ТРЕНД 1.0», для работы с товаром по штрихкодам ")</f>
        <v xml:space="preserve">Переход на Mobile SMARTS: Магазин 15, БАЗОВЫЙ для «ДАЛИОН: ТРЕНД 1.0», для работы с товаром по штрихкодам </v>
      </c>
      <c r="F443" s="5">
        <f ca="1">IFERROR(__xludf.DUMMYFUNCTION("""COMPUTED_VALUE"""),4325)</f>
        <v>4325</v>
      </c>
    </row>
    <row r="444" spans="1:6" ht="44.25" customHeight="1" x14ac:dyDescent="0.2">
      <c r="A444" s="4" t="str">
        <f ca="1">IFERROR(__xludf.DUMMYFUNCTION("""COMPUTED_VALUE"""),"«ДАЛИОН: ТРЕНД 1.0»")</f>
        <v>«ДАЛИОН: ТРЕНД 1.0»</v>
      </c>
      <c r="B444" s="4" t="str">
        <f ca="1">IFERROR(__xludf.DUMMYFUNCTION("""COMPUTED_VALUE"""),"РАСШИРЕННЫЙ")</f>
        <v>РАСШИРЕННЫЙ</v>
      </c>
      <c r="C444" s="4" t="str">
        <f ca="1">IFERROR(__xludf.DUMMYFUNCTION("""COMPUTED_VALUE"""),"UP2-RTL15B-DALIONTREND")</f>
        <v>UP2-RTL15B-DALIONTREND</v>
      </c>
      <c r="D444" s="4" t="str">
        <f ca="1">IFERROR(__xludf.DUMMYFUNCTION("""COMPUTED_VALUE"""),"Переход на Mobile SMARTS: Магазин 15, РАСШИРЕННЫЙ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4" s="4" t="str">
        <f ca="1">IFERROR(__xludf.DUMMYFUNCTION("""COMPUTED_VALUE"""),"Переход на Mobile SMARTS: Магазин 15, РАСШИРЕННЫЙ для «ДАЛИОН: ТРЕНД 1.0», для работы с товаром по штрихкодам ")</f>
        <v xml:space="preserve">Переход на Mobile SMARTS: Магазин 15, РАСШИРЕННЫЙ для «ДАЛИОН: ТРЕНД 1.0», для работы с товаром по штрихкодам </v>
      </c>
      <c r="F444" s="5">
        <f ca="1">IFERROR(__xludf.DUMMYFUNCTION("""COMPUTED_VALUE"""),7525)</f>
        <v>7525</v>
      </c>
    </row>
    <row r="445" spans="1:6" ht="44.25" customHeight="1" x14ac:dyDescent="0.2">
      <c r="A445" s="4" t="str">
        <f ca="1">IFERROR(__xludf.DUMMYFUNCTION("""COMPUTED_VALUE"""),"«ДАЛИОН: ТРЕНД 1.0»")</f>
        <v>«ДАЛИОН: ТРЕНД 1.0»</v>
      </c>
      <c r="B445" s="4" t="str">
        <f ca="1">IFERROR(__xludf.DUMMYFUNCTION("""COMPUTED_VALUE"""),"МЕГАМАРКЕТ")</f>
        <v>МЕГАМАРКЕТ</v>
      </c>
      <c r="C445" s="4" t="str">
        <f ca="1">IFERROR(__xludf.DUMMYFUNCTION("""COMPUTED_VALUE"""),"UP2-RTL15C-DALIONTREND")</f>
        <v>UP2-RTL15C-DALIONTREND</v>
      </c>
      <c r="D445" s="4" t="str">
        <f ca="1">IFERROR(__xludf.DUMMYFUNCTION("""COMPUTED_VALUE"""),"Переход на Mobile SMARTS: Магазин 15, МЕГАМАРКЕТ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"&amp;"печатью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5" s="4" t="str">
        <f ca="1">IFERROR(__xludf.DUMMYFUNCTION("""COMPUTED_VALUE"""),"Переход на Mobile SMARTS: Магазин 15, МЕГАМАРКЕТ для «ДАЛИОН: ТРЕНД 1.0», для работы с товаром по штрихкодам ")</f>
        <v xml:space="preserve">Переход на Mobile SMARTS: Магазин 15, МЕГАМАРКЕТ для «ДАЛИОН: ТРЕНД 1.0», для работы с товаром по штрихкодам </v>
      </c>
      <c r="F445" s="5">
        <f ca="1">IFERROR(__xludf.DUMMYFUNCTION("""COMPUTED_VALUE"""),10775)</f>
        <v>10775</v>
      </c>
    </row>
    <row r="446" spans="1:6" ht="44.25" customHeight="1" x14ac:dyDescent="0.2">
      <c r="A446" s="4" t="str">
        <f ca="1">IFERROR(__xludf.DUMMYFUNCTION("""COMPUTED_VALUE"""),"«ДАЛИОН: ТРЕНД 1.0»")</f>
        <v>«ДАЛИОН: ТРЕНД 1.0»</v>
      </c>
      <c r="B446" s="4" t="str">
        <f ca="1">IFERROR(__xludf.DUMMYFUNCTION("""COMPUTED_VALUE"""),"с ЕГАИС, БАЗОВЫЙ")</f>
        <v>с ЕГАИС, БАЗОВЫЙ</v>
      </c>
      <c r="C446" s="4" t="str">
        <f ca="1">IFERROR(__xludf.DUMMYFUNCTION("""COMPUTED_VALUE"""),"UP2-RTL15AE-DALIONTREND")</f>
        <v>UP2-RTL15AE-DALIONTREND</v>
      </c>
      <c r="D446" s="4" t="str">
        <f ca="1">IFERROR(__xludf.DUMMYFUNCTION("""COMPUTED_VALUE"""),"Переход на Mobile SMARTS: Магазин 15 с ЕГАИС, БАЗОВЫЙ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а"&amp;"лкоголя,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"&amp;"о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46" s="4" t="str">
        <f ca="1">IFERROR(__xludf.DUMMYFUNCTION("""COMPUTED_VALUE"""),"Переход на Mobile SMARTS: Магазин 15 с ЕГАИС, БАЗОВЫЙ для «ДАЛИОН: ТРЕНД 1.0», для работы с маркированным товаром: алкоголь ЕГАИС и товары по штрихкодам ")</f>
        <v xml:space="preserve">Переход на Mobile SMARTS: Магазин 15 с ЕГАИС, БАЗОВЫЙ для «ДАЛИОН: ТРЕНД 1.0», для работы с маркированным товаром: алкоголь ЕГАИС и товары по штрихкодам </v>
      </c>
      <c r="F446" s="5">
        <f ca="1">IFERROR(__xludf.DUMMYFUNCTION("""COMPUTED_VALUE"""),5500)</f>
        <v>5500</v>
      </c>
    </row>
    <row r="447" spans="1:6" ht="44.25" customHeight="1" x14ac:dyDescent="0.2">
      <c r="A447" s="4" t="str">
        <f ca="1">IFERROR(__xludf.DUMMYFUNCTION("""COMPUTED_VALUE"""),"«ДАЛИОН: ТРЕНД 1.0»")</f>
        <v>«ДАЛИОН: ТРЕНД 1.0»</v>
      </c>
      <c r="B447" s="4" t="str">
        <f ca="1">IFERROR(__xludf.DUMMYFUNCTION("""COMPUTED_VALUE"""),"с ЕГАИС, РАСШИРЕННЫЙ")</f>
        <v>с ЕГАИС, РАСШИРЕННЫЙ</v>
      </c>
      <c r="C447" s="4" t="str">
        <f ca="1">IFERROR(__xludf.DUMMYFUNCTION("""COMPUTED_VALUE"""),"UP2-RTL15BE-DALIONTREND")</f>
        <v>UP2-RTL15BE-DALIONTREND</v>
      </c>
      <c r="D447" s="4" t="str">
        <f ca="1">IFERROR(__xludf.DUMMYFUNCTION("""COMPUTED_VALUE"""),"Переход на Mobile SMARTS: Магазин 15 с ЕГАИС, РАСШИРЕННЫЙ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сб"&amp;"ор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информа"&amp;"ция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РАСШИРЕННЫЙ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7" s="4" t="str">
        <f ca="1">IFERROR(__xludf.DUMMYFUNCTION("""COMPUTED_VALUE"""),"Переход на Mobile SMARTS: Магазин 15 с ЕГАИС, РАСШИРЕННЫЙ для «ДАЛИОН: ТРЕНД 1.0», для работы с маркированным товаром: алкоголь ЕГАИС и товары по штрихкодам ")</f>
        <v xml:space="preserve">Переход на Mobile SMARTS: Магазин 15 с ЕГАИС, РАСШИРЕННЫЙ для «ДАЛИОН: ТРЕНД 1.0», для работы с маркированным товаром: алкоголь ЕГАИС и товары по штрихкодам </v>
      </c>
      <c r="F447" s="5">
        <f ca="1">IFERROR(__xludf.DUMMYFUNCTION("""COMPUTED_VALUE"""),8725)</f>
        <v>8725</v>
      </c>
    </row>
    <row r="448" spans="1:6" ht="44.25" customHeight="1" x14ac:dyDescent="0.2">
      <c r="A448" s="4" t="str">
        <f ca="1">IFERROR(__xludf.DUMMYFUNCTION("""COMPUTED_VALUE"""),"«ДАЛИОН: ТРЕНД 1.0»")</f>
        <v>«ДАЛИОН: ТРЕНД 1.0»</v>
      </c>
      <c r="B448" s="4" t="str">
        <f ca="1">IFERROR(__xludf.DUMMYFUNCTION("""COMPUTED_VALUE"""),"с ЕГАИС (без CheckMark2), МЕГАМАРКЕТ")</f>
        <v>с ЕГАИС (без CheckMark2), МЕГАМАРКЕТ</v>
      </c>
      <c r="C448" s="4" t="str">
        <f ca="1">IFERROR(__xludf.DUMMYFUNCTION("""COMPUTED_VALUE"""),"UP2-RTL15CEV-DALIONTREND")</f>
        <v>UP2-RTL15CEV-DALIONTREND</v>
      </c>
      <c r="D448" s="4" t="str">
        <f ca="1">IFERROR(__xludf.DUMMYFUNCTION("""COMPUTED_VALUE"""),"Переход на Mobile SMARTS: Магазин 15 с ЕГАИС (без CheckMark2), МЕГАМАРКЕТ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работа,"&amp;"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ч"&amp;"ерез Интернет на 1 (один) год")</f>
        <v>Переход на Mobile SMARTS: Магазин 15 с ЕГАИС (без CheckMark2), МЕГАМАРКЕТ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8" s="4" t="str">
        <f ca="1">IFERROR(__xludf.DUMMYFUNCTION("""COMPUTED_VALUE"""),"Переход на Mobile SMARTS: Магазин 15 с ЕГАИС (без CheckMark2), МЕГАМАРКЕТ для «ДАЛИОН: ТРЕНД 1.0»,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«ДАЛИОН: ТРЕНД 1.0», для работы с маркированным товаром: алкоголь ЕГАИС и товары по штрихкодам </v>
      </c>
      <c r="F448" s="5">
        <f ca="1">IFERROR(__xludf.DUMMYFUNCTION("""COMPUTED_VALUE"""),11925)</f>
        <v>11925</v>
      </c>
    </row>
    <row r="449" spans="1:6" ht="44.25" customHeight="1" x14ac:dyDescent="0.2">
      <c r="A449" s="4" t="str">
        <f ca="1">IFERROR(__xludf.DUMMYFUNCTION("""COMPUTED_VALUE"""),"«ДАЛИОН: ТРЕНД 2.0»")</f>
        <v>«ДАЛИОН: ТРЕНД 2.0»</v>
      </c>
      <c r="B449" s="4" t="str">
        <f ca="1">IFERROR(__xludf.DUMMYFUNCTION("""COMPUTED_VALUE"""),"МИНИМУМ")</f>
        <v>МИНИМУМ</v>
      </c>
      <c r="C449" s="4" t="str">
        <f ca="1">IFERROR(__xludf.DUMMYFUNCTION("""COMPUTED_VALUE"""),"UP2-RTL15M-DALIONTREND2")</f>
        <v>UP2-RTL15M-DALIONTREND2</v>
      </c>
      <c r="D449" s="4" t="str">
        <f ca="1">IFERROR(__xludf.DUMMYFUNCTION("""COMPUTED_VALUE"""),"Переход на Mobile SMARTS: Магазин 15, МИНИМУМ для «ДАЛИОН: ТРЕНД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на"&amp;"стройка,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г"&amp;"од")</f>
        <v>Переход на Mobile SMARTS: Магазин 15, МИНИМУМ для «ДАЛИОН: ТРЕНД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49" s="4" t="str">
        <f ca="1">IFERROR(__xludf.DUMMYFUNCTION("""COMPUTED_VALUE"""),"Переход на Mobile SMARTS: Магазин 15, МИНИМУМ для «ДАЛИОН: ТРЕНД 2.0», для работы с товаром по штрихкодам ")</f>
        <v xml:space="preserve">Переход на Mobile SMARTS: Магазин 15, МИНИМУМ для «ДАЛИОН: ТРЕНД 2.0», для работы с товаром по штрихкодам </v>
      </c>
      <c r="F449" s="5">
        <f ca="1">IFERROR(__xludf.DUMMYFUNCTION("""COMPUTED_VALUE"""),1725)</f>
        <v>1725</v>
      </c>
    </row>
    <row r="450" spans="1:6" ht="44.25" customHeight="1" x14ac:dyDescent="0.2">
      <c r="A450" s="4" t="str">
        <f ca="1">IFERROR(__xludf.DUMMYFUNCTION("""COMPUTED_VALUE"""),"«ДАЛИОН: ТРЕНД 2.0»")</f>
        <v>«ДАЛИОН: ТРЕНД 2.0»</v>
      </c>
      <c r="B450" s="4" t="str">
        <f ca="1">IFERROR(__xludf.DUMMYFUNCTION("""COMPUTED_VALUE"""),"БАЗОВЫЙ")</f>
        <v>БАЗОВЫЙ</v>
      </c>
      <c r="C450" s="4" t="str">
        <f ca="1">IFERROR(__xludf.DUMMYFUNCTION("""COMPUTED_VALUE"""),"UP2-RTL15A-DALIONTREND2")</f>
        <v>UP2-RTL15A-DALIONTREND2</v>
      </c>
      <c r="D450" s="4" t="str">
        <f ca="1">IFERROR(__xludf.DUMMYFUNCTION("""COMPUTED_VALUE"""),"Переход на Mobile SMARTS: Магазин 15, БАЗОВЫЙ для «ДАЛИОН: ТРЕНД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печ"&amp;"атью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"&amp;"операций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«ДАЛИОН: ТРЕНД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0" s="4" t="str">
        <f ca="1">IFERROR(__xludf.DUMMYFUNCTION("""COMPUTED_VALUE"""),"Переход на Mobile SMARTS: Магазин 15, БАЗОВЫЙ для «ДАЛИОН: ТРЕНД 2.0», для работы с товаром по штрихкодам ")</f>
        <v xml:space="preserve">Переход на Mobile SMARTS: Магазин 15, БАЗОВЫЙ для «ДАЛИОН: ТРЕНД 2.0», для работы с товаром по штрихкодам </v>
      </c>
      <c r="F450" s="5">
        <f ca="1">IFERROR(__xludf.DUMMYFUNCTION("""COMPUTED_VALUE"""),4325)</f>
        <v>4325</v>
      </c>
    </row>
    <row r="451" spans="1:6" ht="44.25" customHeight="1" x14ac:dyDescent="0.2">
      <c r="A451" s="4" t="str">
        <f ca="1">IFERROR(__xludf.DUMMYFUNCTION("""COMPUTED_VALUE"""),"«ДАЛИОН: ТРЕНД 2.0»")</f>
        <v>«ДАЛИОН: ТРЕНД 2.0»</v>
      </c>
      <c r="B451" s="4" t="str">
        <f ca="1">IFERROR(__xludf.DUMMYFUNCTION("""COMPUTED_VALUE"""),"РАСШИРЕННЫЙ")</f>
        <v>РАСШИРЕННЫЙ</v>
      </c>
      <c r="C451" s="4" t="str">
        <f ca="1">IFERROR(__xludf.DUMMYFUNCTION("""COMPUTED_VALUE"""),"UP2-RTL15B-DALIONTREND2")</f>
        <v>UP2-RTL15B-DALIONTREND2</v>
      </c>
      <c r="D451" s="4" t="str">
        <f ca="1">IFERROR(__xludf.DUMMYFUNCTION("""COMPUTED_VALUE"""),"Переход на Mobile SMARTS: Магазин 15, РАСШИРЕННЫЙ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1" s="4" t="str">
        <f ca="1">IFERROR(__xludf.DUMMYFUNCTION("""COMPUTED_VALUE"""),"Переход на Mobile SMARTS: Магазин 15, РАСШИРЕННЫЙ для «ДАЛИОН: ТРЕНД 2.0», для работы с товаром по штрихкодам ")</f>
        <v xml:space="preserve">Переход на Mobile SMARTS: Магазин 15, РАСШИРЕННЫЙ для «ДАЛИОН: ТРЕНД 2.0», для работы с товаром по штрихкодам </v>
      </c>
      <c r="F451" s="5">
        <f ca="1">IFERROR(__xludf.DUMMYFUNCTION("""COMPUTED_VALUE"""),7525)</f>
        <v>7525</v>
      </c>
    </row>
    <row r="452" spans="1:6" ht="44.25" customHeight="1" x14ac:dyDescent="0.2">
      <c r="A452" s="4" t="str">
        <f ca="1">IFERROR(__xludf.DUMMYFUNCTION("""COMPUTED_VALUE"""),"«ДАЛИОН: ТРЕНД 2.0»")</f>
        <v>«ДАЛИОН: ТРЕНД 2.0»</v>
      </c>
      <c r="B452" s="4" t="str">
        <f ca="1">IFERROR(__xludf.DUMMYFUNCTION("""COMPUTED_VALUE"""),"МЕГАМАРКЕТ")</f>
        <v>МЕГАМАРКЕТ</v>
      </c>
      <c r="C452" s="4" t="str">
        <f ca="1">IFERROR(__xludf.DUMMYFUNCTION("""COMPUTED_VALUE"""),"UP2-RTL15C-DALIONTREND2")</f>
        <v>UP2-RTL15C-DALIONTREND2</v>
      </c>
      <c r="D452" s="4" t="str">
        <f ca="1">IFERROR(__xludf.DUMMYFUNCTION("""COMPUTED_VALUE"""),"Переход на Mobile SMARTS: Магазин 15, МЕГАМАРКЕТ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"&amp;"печатью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2" s="4" t="str">
        <f ca="1">IFERROR(__xludf.DUMMYFUNCTION("""COMPUTED_VALUE"""),"Переход на Mobile SMARTS: Магазин 15, МЕГАМАРКЕТ для «ДАЛИОН: ТРЕНД 2.0», для работы с товаром по штрихкодам ")</f>
        <v xml:space="preserve">Переход на Mobile SMARTS: Магазин 15, МЕГАМАРКЕТ для «ДАЛИОН: ТРЕНД 2.0», для работы с товаром по штрихкодам </v>
      </c>
      <c r="F452" s="5">
        <f ca="1">IFERROR(__xludf.DUMMYFUNCTION("""COMPUTED_VALUE"""),10775)</f>
        <v>10775</v>
      </c>
    </row>
    <row r="453" spans="1:6" ht="44.25" customHeight="1" x14ac:dyDescent="0.2">
      <c r="A453" s="4" t="str">
        <f ca="1">IFERROR(__xludf.DUMMYFUNCTION("""COMPUTED_VALUE"""),"«ДАЛИОН: ТРЕНД 2.0»")</f>
        <v>«ДАЛИОН: ТРЕНД 2.0»</v>
      </c>
      <c r="B453" s="4" t="str">
        <f ca="1">IFERROR(__xludf.DUMMYFUNCTION("""COMPUTED_VALUE"""),"с ЕГАИС, БАЗОВЫЙ")</f>
        <v>с ЕГАИС, БАЗОВЫЙ</v>
      </c>
      <c r="C453" s="4" t="str">
        <f ca="1">IFERROR(__xludf.DUMMYFUNCTION("""COMPUTED_VALUE"""),"UP2-RTL15AE-DALIONTREND2")</f>
        <v>UP2-RTL15AE-DALIONTREND2</v>
      </c>
      <c r="D453" s="4" t="str">
        <f ca="1">IFERROR(__xludf.DUMMYFUNCTION("""COMPUTED_VALUE"""),"Переход на Mobile SMARTS: Магазин 15 с ЕГАИС, БАЗОВЫЙ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а"&amp;"лкоголя,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"&amp;"о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53" s="4" t="str">
        <f ca="1">IFERROR(__xludf.DUMMYFUNCTION("""COMPUTED_VALUE"""),"Переход на Mobile SMARTS: Магазин 15 с ЕГАИС, БАЗОВЫЙ для «ДАЛИОН: ТРЕНД 2.0», для работы с маркированным товаром: алкоголь ЕГАИС и товары по штрихкодам ")</f>
        <v xml:space="preserve">Переход на Mobile SMARTS: Магазин 15 с ЕГАИС, БАЗОВЫЙ для «ДАЛИОН: ТРЕНД 2.0», для работы с маркированным товаром: алкоголь ЕГАИС и товары по штрихкодам </v>
      </c>
      <c r="F453" s="5">
        <f ca="1">IFERROR(__xludf.DUMMYFUNCTION("""COMPUTED_VALUE"""),5500)</f>
        <v>5500</v>
      </c>
    </row>
    <row r="454" spans="1:6" ht="44.25" customHeight="1" x14ac:dyDescent="0.2">
      <c r="A454" s="4" t="str">
        <f ca="1">IFERROR(__xludf.DUMMYFUNCTION("""COMPUTED_VALUE"""),"«ДАЛИОН: ТРЕНД 2.0»")</f>
        <v>«ДАЛИОН: ТРЕНД 2.0»</v>
      </c>
      <c r="B454" s="4" t="str">
        <f ca="1">IFERROR(__xludf.DUMMYFUNCTION("""COMPUTED_VALUE"""),"с ЕГАИС, РАСШИРЕННЫЙ")</f>
        <v>с ЕГАИС, РАСШИРЕННЫЙ</v>
      </c>
      <c r="C454" s="4" t="str">
        <f ca="1">IFERROR(__xludf.DUMMYFUNCTION("""COMPUTED_VALUE"""),"UP2-RTL15BE-DALIONTREND2")</f>
        <v>UP2-RTL15BE-DALIONTREND2</v>
      </c>
      <c r="D454" s="4" t="str">
        <f ca="1">IFERROR(__xludf.DUMMYFUNCTION("""COMPUTED_VALUE"""),"Переход на Mobile SMARTS: Магазин 15 с ЕГАИС, РАСШИРЕННЫЙ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сб"&amp;"ор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информа"&amp;"ция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РАСШИРЕННЫЙ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4" s="4" t="str">
        <f ca="1">IFERROR(__xludf.DUMMYFUNCTION("""COMPUTED_VALUE"""),"Переход на Mobile SMARTS: Магазин 15 с ЕГАИС, РАСШИРЕННЫЙ для «ДАЛИОН: ТРЕНД 2.0», для работы с маркированным товаром: алкоголь ЕГАИС и товары по штрихкодам ")</f>
        <v xml:space="preserve">Переход на Mobile SMARTS: Магазин 15 с ЕГАИС, РАСШИРЕННЫЙ для «ДАЛИОН: ТРЕНД 2.0», для работы с маркированным товаром: алкоголь ЕГАИС и товары по штрихкодам </v>
      </c>
      <c r="F454" s="5">
        <f ca="1">IFERROR(__xludf.DUMMYFUNCTION("""COMPUTED_VALUE"""),8725)</f>
        <v>8725</v>
      </c>
    </row>
    <row r="455" spans="1:6" ht="44.25" customHeight="1" x14ac:dyDescent="0.2">
      <c r="A455" s="4" t="str">
        <f ca="1">IFERROR(__xludf.DUMMYFUNCTION("""COMPUTED_VALUE"""),"«ДАЛИОН: ТРЕНД 2.0»")</f>
        <v>«ДАЛИОН: ТРЕНД 2.0»</v>
      </c>
      <c r="B455" s="4" t="str">
        <f ca="1">IFERROR(__xludf.DUMMYFUNCTION("""COMPUTED_VALUE"""),"с ЕГАИС (без CheckMark2), МЕГАМАРКЕТ")</f>
        <v>с ЕГАИС (без CheckMark2), МЕГАМАРКЕТ</v>
      </c>
      <c r="C455" s="4" t="str">
        <f ca="1">IFERROR(__xludf.DUMMYFUNCTION("""COMPUTED_VALUE"""),"UP2-RTL15CEV-DALIONTREND2")</f>
        <v>UP2-RTL15CEV-DALIONTREND2</v>
      </c>
      <c r="D455" s="4" t="str">
        <f ca="1">IFERROR(__xludf.DUMMYFUNCTION("""COMPUTED_VALUE"""),"Переход на Mobile SMARTS: Магазин 15 с ЕГАИС (без CheckMark2), МЕГАМАРКЕТ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работа,"&amp;"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ч"&amp;"ерез Интернет на 1 (один) год")</f>
        <v>Переход на Mobile SMARTS: Магазин 15 с ЕГАИС (без CheckMark2), МЕГАМАРКЕТ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5" s="4" t="str">
        <f ca="1">IFERROR(__xludf.DUMMYFUNCTION("""COMPUTED_VALUE"""),"Переход на Mobile SMARTS: Магазин 15 с ЕГАИС (без CheckMark2), МЕГАМАРКЕТ для «ДАЛИОН: ТРЕНД 2.0»,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«ДАЛИОН: ТРЕНД 2.0», для работы с маркированным товаром: алкоголь ЕГАИС и товары по штрихкодам </v>
      </c>
      <c r="F455" s="5">
        <f ca="1">IFERROR(__xludf.DUMMYFUNCTION("""COMPUTED_VALUE"""),11925)</f>
        <v>11925</v>
      </c>
    </row>
    <row r="456" spans="1:6" ht="44.25" customHeight="1" x14ac:dyDescent="0.2">
      <c r="A456" s="4" t="str">
        <f ca="1">IFERROR(__xludf.DUMMYFUNCTION("""COMPUTED_VALUE"""),"«ДАЛИОН: ТРЕНД 3.0»")</f>
        <v>«ДАЛИОН: ТРЕНД 3.0»</v>
      </c>
      <c r="B456" s="4" t="str">
        <f ca="1">IFERROR(__xludf.DUMMYFUNCTION("""COMPUTED_VALUE"""),"МИНИМУМ")</f>
        <v>МИНИМУМ</v>
      </c>
      <c r="C456" s="4" t="str">
        <f ca="1">IFERROR(__xludf.DUMMYFUNCTION("""COMPUTED_VALUE"""),"UP2-RTL15M-DALIONTREND30")</f>
        <v>UP2-RTL15M-DALIONTREND30</v>
      </c>
      <c r="D456" s="4" t="str">
        <f ca="1">IFERROR(__xludf.DUMMYFUNCTION("""COMPUTED_VALUE"""),"Переход на Mobile SMARTS: Магазин 15, МИНИМУМ для «ДАЛИОН: ТРЕНД 3.0»,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на"&amp;"стройка,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г"&amp;"од")</f>
        <v>Переход на Mobile SMARTS: Магазин 15, МИНИМУМ для «ДАЛИОН: ТРЕНД 3.0»,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56" s="4" t="str">
        <f ca="1">IFERROR(__xludf.DUMMYFUNCTION("""COMPUTED_VALUE"""),"Переход на Mobile SMARTS: Магазин 15, МИНИМУМ для «ДАЛИОН: ТРЕНД 3.0», для работы с товаром по штрихкодам ")</f>
        <v xml:space="preserve">Переход на Mobile SMARTS: Магазин 15, МИНИМУМ для «ДАЛИОН: ТРЕНД 3.0», для работы с товаром по штрихкодам </v>
      </c>
      <c r="F456" s="5">
        <f ca="1">IFERROR(__xludf.DUMMYFUNCTION("""COMPUTED_VALUE"""),1725)</f>
        <v>1725</v>
      </c>
    </row>
    <row r="457" spans="1:6" ht="44.25" customHeight="1" x14ac:dyDescent="0.2">
      <c r="A457" s="4" t="str">
        <f ca="1">IFERROR(__xludf.DUMMYFUNCTION("""COMPUTED_VALUE"""),"«ДАЛИОН: ТРЕНД 3.0»")</f>
        <v>«ДАЛИОН: ТРЕНД 3.0»</v>
      </c>
      <c r="B457" s="4" t="str">
        <f ca="1">IFERROR(__xludf.DUMMYFUNCTION("""COMPUTED_VALUE"""),"БАЗОВЫЙ")</f>
        <v>БАЗОВЫЙ</v>
      </c>
      <c r="C457" s="4" t="str">
        <f ca="1">IFERROR(__xludf.DUMMYFUNCTION("""COMPUTED_VALUE"""),"UP2-RTL15A-DALIONTREND30")</f>
        <v>UP2-RTL15A-DALIONTREND30</v>
      </c>
      <c r="D457" s="4" t="str">
        <f ca="1">IFERROR(__xludf.DUMMYFUNCTION("""COMPUTED_VALUE"""),"Переход на Mobile SMARTS: Магазин 15, БАЗОВЫЙ для «ДАЛИОН: ТРЕНД 3.0»,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печ"&amp;"атью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"&amp;"операций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«ДАЛИОН: ТРЕНД 3.0»,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7" s="4" t="str">
        <f ca="1">IFERROR(__xludf.DUMMYFUNCTION("""COMPUTED_VALUE"""),"Переход на Mobile SMARTS: Магазин 15, БАЗОВЫЙ для «ДАЛИОН: ТРЕНД 3.0», для работы с товаром по штрихкодам ")</f>
        <v xml:space="preserve">Переход на Mobile SMARTS: Магазин 15, БАЗОВЫЙ для «ДАЛИОН: ТРЕНД 3.0», для работы с товаром по штрихкодам </v>
      </c>
      <c r="F457" s="5">
        <f ca="1">IFERROR(__xludf.DUMMYFUNCTION("""COMPUTED_VALUE"""),4325)</f>
        <v>4325</v>
      </c>
    </row>
    <row r="458" spans="1:6" ht="44.25" customHeight="1" x14ac:dyDescent="0.2">
      <c r="A458" s="4" t="str">
        <f ca="1">IFERROR(__xludf.DUMMYFUNCTION("""COMPUTED_VALUE"""),"«ДАЛИОН: ТРЕНД 3.0»")</f>
        <v>«ДАЛИОН: ТРЕНД 3.0»</v>
      </c>
      <c r="B458" s="4" t="str">
        <f ca="1">IFERROR(__xludf.DUMMYFUNCTION("""COMPUTED_VALUE"""),"РАСШИРЕННЫЙ")</f>
        <v>РАСШИРЕННЫЙ</v>
      </c>
      <c r="C458" s="4" t="str">
        <f ca="1">IFERROR(__xludf.DUMMYFUNCTION("""COMPUTED_VALUE"""),"UP2-RTL15B-DALIONTREND30")</f>
        <v>UP2-RTL15B-DALIONTREND30</v>
      </c>
      <c r="D458" s="4" t="str">
        <f ca="1">IFERROR(__xludf.DUMMYFUNCTION("""COMPUTED_VALUE"""),"Переход на Mobile SMARTS: Магазин 15, РАСШИРЕННЫЙ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с"&amp;"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существую"&amp;"щих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8" s="4" t="str">
        <f ca="1">IFERROR(__xludf.DUMMYFUNCTION("""COMPUTED_VALUE"""),"Переход на Mobile SMARTS: Магазин 15, РАСШИРЕННЫЙ для «ДАЛИОН: ТРЕНД 3.0», для работы с товаром по штрихкодам ")</f>
        <v xml:space="preserve">Переход на Mobile SMARTS: Магазин 15, РАСШИРЕННЫЙ для «ДАЛИОН: ТРЕНД 3.0», для работы с товаром по штрихкодам </v>
      </c>
      <c r="F458" s="5">
        <f ca="1">IFERROR(__xludf.DUMMYFUNCTION("""COMPUTED_VALUE"""),7525)</f>
        <v>7525</v>
      </c>
    </row>
    <row r="459" spans="1:6" ht="44.25" customHeight="1" x14ac:dyDescent="0.2">
      <c r="A459" s="4" t="str">
        <f ca="1">IFERROR(__xludf.DUMMYFUNCTION("""COMPUTED_VALUE"""),"«ДАЛИОН: ТРЕНД 3.0»")</f>
        <v>«ДАЛИОН: ТРЕНД 3.0»</v>
      </c>
      <c r="B459" s="4" t="str">
        <f ca="1">IFERROR(__xludf.DUMMYFUNCTION("""COMPUTED_VALUE"""),"МЕГАМАРКЕТ")</f>
        <v>МЕГАМАРКЕТ</v>
      </c>
      <c r="C459" s="4" t="str">
        <f ca="1">IFERROR(__xludf.DUMMYFUNCTION("""COMPUTED_VALUE"""),"UP2-RTL15C-DALIONTREND30")</f>
        <v>UP2-RTL15C-DALIONTREND30</v>
      </c>
      <c r="D459" s="4" t="str">
        <f ca="1">IFERROR(__xludf.DUMMYFUNCTION("""COMPUTED_VALUE"""),"Переход на Mobile SMARTS: Магазин 15, МЕГАМАРКЕТ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"&amp;"печатью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9" s="4" t="str">
        <f ca="1">IFERROR(__xludf.DUMMYFUNCTION("""COMPUTED_VALUE"""),"Переход на Mobile SMARTS: Магазин 15, МЕГАМАРКЕТ для «ДАЛИОН: ТРЕНД 3.0», для работы с товаром по штрихкодам ")</f>
        <v xml:space="preserve">Переход на Mobile SMARTS: Магазин 15, МЕГАМАРКЕТ для «ДАЛИОН: ТРЕНД 3.0», для работы с товаром по штрихкодам </v>
      </c>
      <c r="F459" s="5">
        <f ca="1">IFERROR(__xludf.DUMMYFUNCTION("""COMPUTED_VALUE"""),10775)</f>
        <v>10775</v>
      </c>
    </row>
    <row r="460" spans="1:6" ht="44.25" customHeight="1" x14ac:dyDescent="0.2">
      <c r="A460" s="4" t="str">
        <f ca="1">IFERROR(__xludf.DUMMYFUNCTION("""COMPUTED_VALUE"""),"«ДАЛИОН: ТРЕНД 3.0»")</f>
        <v>«ДАЛИОН: ТРЕНД 3.0»</v>
      </c>
      <c r="B460" s="4" t="str">
        <f ca="1">IFERROR(__xludf.DUMMYFUNCTION("""COMPUTED_VALUE"""),"с ЕГАИС, БАЗОВЫЙ")</f>
        <v>с ЕГАИС, БАЗОВЫЙ</v>
      </c>
      <c r="C460" s="4" t="str">
        <f ca="1">IFERROR(__xludf.DUMMYFUNCTION("""COMPUTED_VALUE"""),"UP2-RTL15AE-DALIONTREND30")</f>
        <v>UP2-RTL15AE-DALIONTREND30</v>
      </c>
      <c r="D460" s="4" t="str">
        <f ca="1">IFERROR(__xludf.DUMMYFUNCTION("""COMPUTED_VALUE"""),"Переход на Mobile SMARTS: Магазин 15 с ЕГАИС, БАЗОВЫЙ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а"&amp;"лкоголя,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"&amp;"о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60" s="4" t="str">
        <f ca="1">IFERROR(__xludf.DUMMYFUNCTION("""COMPUTED_VALUE"""),"Переход на Mobile SMARTS: Магазин 15 с ЕГАИС, БАЗОВЫЙ для «ДАЛИОН: ТРЕНД 3.0», для работы с маркированным товаром: алкоголь ЕГАИС и товары по штрихкодам ")</f>
        <v xml:space="preserve">Переход на Mobile SMARTS: Магазин 15 с ЕГАИС, БАЗОВЫЙ для «ДАЛИОН: ТРЕНД 3.0», для работы с маркированным товаром: алкоголь ЕГАИС и товары по штрихкодам </v>
      </c>
      <c r="F460" s="5">
        <f ca="1">IFERROR(__xludf.DUMMYFUNCTION("""COMPUTED_VALUE"""),5500)</f>
        <v>5500</v>
      </c>
    </row>
    <row r="461" spans="1:6" ht="44.25" customHeight="1" x14ac:dyDescent="0.2">
      <c r="A461" s="4" t="str">
        <f ca="1">IFERROR(__xludf.DUMMYFUNCTION("""COMPUTED_VALUE"""),"«ДАЛИОН: ТРЕНД 3.0»")</f>
        <v>«ДАЛИОН: ТРЕНД 3.0»</v>
      </c>
      <c r="B461" s="4" t="str">
        <f ca="1">IFERROR(__xludf.DUMMYFUNCTION("""COMPUTED_VALUE"""),"с ЕГАИС, РАСШИРЕННЫЙ")</f>
        <v>с ЕГАИС, РАСШИРЕННЫЙ</v>
      </c>
      <c r="C461" s="4" t="str">
        <f ca="1">IFERROR(__xludf.DUMMYFUNCTION("""COMPUTED_VALUE"""),"UP2-RTL15BE-DALIONTREND30")</f>
        <v>UP2-RTL15BE-DALIONTREND30</v>
      </c>
      <c r="D461" s="4" t="str">
        <f ca="1">IFERROR(__xludf.DUMMYFUNCTION("""COMPUTED_VALUE"""),"Переход на Mobile SMARTS: Магазин 15 с ЕГАИС, РАСШИРЕННЫЙ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сб"&amp;"ор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информа"&amp;"ция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РАСШИРЕННЫЙ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1" s="4" t="str">
        <f ca="1">IFERROR(__xludf.DUMMYFUNCTION("""COMPUTED_VALUE"""),"Переход на Mobile SMARTS: Магазин 15 с ЕГАИС, РАСШИРЕННЫЙ для «ДАЛИОН: ТРЕНД 3.0», для работы с маркированным товаром: алкоголь ЕГАИС и товары по штрихкодам ")</f>
        <v xml:space="preserve">Переход на Mobile SMARTS: Магазин 15 с ЕГАИС, РАСШИРЕННЫЙ для «ДАЛИОН: ТРЕНД 3.0», для работы с маркированным товаром: алкоголь ЕГАИС и товары по штрихкодам </v>
      </c>
      <c r="F461" s="5">
        <f ca="1">IFERROR(__xludf.DUMMYFUNCTION("""COMPUTED_VALUE"""),8725)</f>
        <v>8725</v>
      </c>
    </row>
    <row r="462" spans="1:6" ht="44.25" customHeight="1" x14ac:dyDescent="0.2">
      <c r="A462" s="4" t="str">
        <f ca="1">IFERROR(__xludf.DUMMYFUNCTION("""COMPUTED_VALUE"""),"«ДАЛИОН: ТРЕНД 3.0»")</f>
        <v>«ДАЛИОН: ТРЕНД 3.0»</v>
      </c>
      <c r="B462" s="4" t="str">
        <f ca="1">IFERROR(__xludf.DUMMYFUNCTION("""COMPUTED_VALUE"""),"с ЕГАИС (без CheckMark2), МЕГАМАРКЕТ")</f>
        <v>с ЕГАИС (без CheckMark2), МЕГАМАРКЕТ</v>
      </c>
      <c r="C462" s="4" t="str">
        <f ca="1">IFERROR(__xludf.DUMMYFUNCTION("""COMPUTED_VALUE"""),"UP2-RTL15CEV-DALIONTREND30")</f>
        <v>UP2-RTL15CEV-DALIONTREND30</v>
      </c>
      <c r="D462" s="4" t="str">
        <f ca="1">IFERROR(__xludf.DUMMYFUNCTION("""COMPUTED_VALUE"""),"Переход на Mobile SMARTS: Магазин 15 с ЕГАИС (без CheckMark2), МЕГАМАРКЕТ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работа,"&amp;"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ч"&amp;"ерез Интернет на 1 (один) год")</f>
        <v>Переход на Mobile SMARTS: Магазин 15 с ЕГАИС (без CheckMark2), МЕГАМАРКЕТ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2" s="4" t="str">
        <f ca="1">IFERROR(__xludf.DUMMYFUNCTION("""COMPUTED_VALUE"""),"Переход на Mobile SMARTS: Магазин 15 с ЕГАИС (без CheckMark2), МЕГАМАРКЕТ для «ДАЛИОН: ТРЕНД 3.0»,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«ДАЛИОН: ТРЕНД 3.0», для работы с маркированным товаром: алкоголь ЕГАИС и товары по штрихкодам </v>
      </c>
      <c r="F462" s="5">
        <f ca="1">IFERROR(__xludf.DUMMYFUNCTION("""COMPUTED_VALUE"""),11925)</f>
        <v>11925</v>
      </c>
    </row>
    <row r="463" spans="1:6" ht="44.25" customHeight="1" x14ac:dyDescent="0.2">
      <c r="A463" s="4" t="str">
        <f ca="1">IFERROR(__xludf.DUMMYFUNCTION("""COMPUTED_VALUE"""),"«ДАЛИОН: ТРЕНД 3.0»")</f>
        <v>«ДАЛИОН: ТРЕНД 3.0»</v>
      </c>
      <c r="B463" s="4" t="str">
        <f ca="1">IFERROR(__xludf.DUMMYFUNCTION("""COMPUTED_VALUE"""),"с МОТП, БАЗОВЫЙ")</f>
        <v>с МОТП, БАЗОВЫЙ</v>
      </c>
      <c r="C463" s="4" t="str">
        <f ca="1">IFERROR(__xludf.DUMMYFUNCTION("""COMPUTED_VALUE"""),"UP2-RTL15AT-DALIONTREND30")</f>
        <v>UP2-RTL15AT-DALIONTREND30</v>
      </c>
      <c r="D463" s="4" t="str">
        <f ca="1">IFERROR(__xludf.DUMMYFUNCTION("""COMPUTED_VALUE"""),"Переход на Mobile SMARTS: Магазин 15 с МОТП, БАЗОВЫЙ для «ДАЛИОН: ТРЕНД 3.0»,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т"&amp;".ч.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то"&amp;"варе,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«ДАЛИОН: ТРЕНД 3.0»,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3" s="4" t="str">
        <f ca="1">IFERROR(__xludf.DUMMYFUNCTION("""COMPUTED_VALUE"""),"Переход на Mobile SMARTS: Магазин 15 с МОТП, БАЗОВЫЙ для «ДАЛИОН: ТРЕНД 3.0»")</f>
        <v>Переход на Mobile SMARTS: Магазин 15 с МОТП, БАЗОВЫЙ для «ДАЛИОН: ТРЕНД 3.0»</v>
      </c>
      <c r="F463" s="5">
        <f ca="1">IFERROR(__xludf.DUMMYFUNCTION("""COMPUTED_VALUE"""),5575)</f>
        <v>5575</v>
      </c>
    </row>
    <row r="464" spans="1:6" ht="44.25" customHeight="1" x14ac:dyDescent="0.2">
      <c r="A464" s="4" t="str">
        <f ca="1">IFERROR(__xludf.DUMMYFUNCTION("""COMPUTED_VALUE"""),"«ДАЛИОН: ТРЕНД 3.0»")</f>
        <v>«ДАЛИОН: ТРЕНД 3.0»</v>
      </c>
      <c r="B464" s="4" t="str">
        <f ca="1">IFERROR(__xludf.DUMMYFUNCTION("""COMPUTED_VALUE"""),"с МОТП, РАСШИРЕННЫЙ")</f>
        <v>с МОТП, РАСШИРЕННЫЙ</v>
      </c>
      <c r="C464" s="4" t="str">
        <f ca="1">IFERROR(__xludf.DUMMYFUNCTION("""COMPUTED_VALUE"""),"UP2-RTL15BT-DALIONTREND30")</f>
        <v>UP2-RTL15BT-DALIONTREND30</v>
      </c>
      <c r="D464" s="4" t="str">
        <f ca="1">IFERROR(__xludf.DUMMYFUNCTION("""COMPUTED_VALUE"""),"Переход на Mobile SMARTS: Магазин 15 с МОТП, РАСШИРЕННЫЙ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"&amp;"(в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"&amp;"о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РАСШИРЕННЫЙ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4" s="4" t="str">
        <f ca="1">IFERROR(__xludf.DUMMYFUNCTION("""COMPUTED_VALUE"""),"Переход на Mobile SMARTS: Магазин 15 с МОТП, РАСШИРЕННЫЙ для «ДАЛИОН: ТРЕНД 3.0»")</f>
        <v>Переход на Mobile SMARTS: Магазин 15 с МОТП, РАСШИРЕННЫЙ для «ДАЛИОН: ТРЕНД 3.0»</v>
      </c>
      <c r="F464" s="5">
        <f ca="1">IFERROR(__xludf.DUMMYFUNCTION("""COMPUTED_VALUE"""),8725)</f>
        <v>8725</v>
      </c>
    </row>
    <row r="465" spans="1:6" ht="44.25" customHeight="1" x14ac:dyDescent="0.2">
      <c r="A465" s="4" t="str">
        <f ca="1">IFERROR(__xludf.DUMMYFUNCTION("""COMPUTED_VALUE"""),"«ДАЛИОН: ТРЕНД 3.0»")</f>
        <v>«ДАЛИОН: ТРЕНД 3.0»</v>
      </c>
      <c r="B465" s="4" t="str">
        <f ca="1">IFERROR(__xludf.DUMMYFUNCTION("""COMPUTED_VALUE"""),"с МОТП, МЕГАМАРКЕТ")</f>
        <v>с МОТП, МЕГАМАРКЕТ</v>
      </c>
      <c r="C465" s="4" t="str">
        <f ca="1">IFERROR(__xludf.DUMMYFUNCTION("""COMPUTED_VALUE"""),"UP2-RTL15CT-DALIONTREND30")</f>
        <v>UP2-RTL15CT-DALIONTREND30</v>
      </c>
      <c r="D465" s="4" t="str">
        <f ca="1">IFERROR(__xludf.DUMMYFUNCTION("""COMPUTED_VALUE"""),"Переход на Mobile SMARTS: Магазин 15 с МОТП, МЕГАМАРКЕТ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("&amp;"в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коллективная"&amp;"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 с МОТП, МЕГАМАРКЕТ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5" s="4" t="str">
        <f ca="1">IFERROR(__xludf.DUMMYFUNCTION("""COMPUTED_VALUE"""),"Переход на Mobile SMARTS: Магазин 15 с МОТП, МЕГАМАРКЕТ для «ДАЛИОН: ТРЕНД 3.0»")</f>
        <v>Переход на Mobile SMARTS: Магазин 15 с МОТП, МЕГАМАРКЕТ для «ДАЛИОН: ТРЕНД 3.0»</v>
      </c>
      <c r="F465" s="5">
        <f ca="1">IFERROR(__xludf.DUMMYFUNCTION("""COMPUTED_VALUE"""),11925)</f>
        <v>11925</v>
      </c>
    </row>
    <row r="466" spans="1:6" ht="44.25" customHeight="1" x14ac:dyDescent="0.2">
      <c r="A466" s="4" t="str">
        <f ca="1">IFERROR(__xludf.DUMMYFUNCTION("""COMPUTED_VALUE"""),"«ДАЛИОН: ТРЕНД 3.0»")</f>
        <v>«ДАЛИОН: ТРЕНД 3.0»</v>
      </c>
      <c r="B466" s="4" t="str">
        <f ca="1">IFERROR(__xludf.DUMMYFUNCTION("""COMPUTED_VALUE"""),"с ЕГАИС и МОТП, БАЗОВЫЙ")</f>
        <v>с ЕГАИС и МОТП, БАЗОВЫЙ</v>
      </c>
      <c r="C466" s="4" t="str">
        <f ca="1">IFERROR(__xludf.DUMMYFUNCTION("""COMPUTED_VALUE"""),"UP2-RTL15AET-DALIONTREND30")</f>
        <v>UP2-RTL15AET-DALIONTREND30</v>
      </c>
      <c r="D466" s="4" t="str">
        <f ca="1">IFERROR(__xludf.DUMMYFUNCTION("""COMPUTED_VALUE"""),"Переход на Mobile SMARTS: Магазин 15 с ЕГАИС и МОТП, БАЗОВЫЙ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операции"&amp;":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штрихк"&amp;"одов,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возм"&amp;"ожность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6" s="4" t="str">
        <f ca="1">IFERROR(__xludf.DUMMYFUNCTION("""COMPUTED_VALUE"""),"Переход на Mobile SMARTS: Магазин 15 с ЕГАИС и МОТП, БАЗОВЫЙ для «ДАЛИОН: ТРЕНД 3.0»")</f>
        <v>Переход на Mobile SMARTS: Магазин 15 с ЕГАИС и МОТП, БАЗОВЫЙ для «ДАЛИОН: ТРЕНД 3.0»</v>
      </c>
      <c r="F466" s="5">
        <f ca="1">IFERROR(__xludf.DUMMYFUNCTION("""COMPUTED_VALUE"""),6075)</f>
        <v>6075</v>
      </c>
    </row>
    <row r="467" spans="1:6" ht="44.25" customHeight="1" x14ac:dyDescent="0.2">
      <c r="A467" s="4" t="str">
        <f ca="1">IFERROR(__xludf.DUMMYFUNCTION("""COMPUTED_VALUE"""),"«ДАЛИОН: ТРЕНД 3.0»")</f>
        <v>«ДАЛИОН: ТРЕНД 3.0»</v>
      </c>
      <c r="B467" s="4" t="str">
        <f ca="1">IFERROR(__xludf.DUMMYFUNCTION("""COMPUTED_VALUE"""),"с ЕГАИС и МОТП, РАСШИРЕННЫЙ")</f>
        <v>с ЕГАИС и МОТП, РАСШИРЕННЫЙ</v>
      </c>
      <c r="C467" s="4" t="str">
        <f ca="1">IFERROR(__xludf.DUMMYFUNCTION("""COMPUTED_VALUE"""),"UP2-RTL15BET-DALIONTREND30")</f>
        <v>UP2-RTL15BET-DALIONTREND30</v>
      </c>
      <c r="D467" s="4" t="str">
        <f ca="1">IFERROR(__xludf.DUMMYFUNCTION("""COMPUTED_VALUE"""),"Переход на Mobile SMARTS: Магазин 15 с ЕГАИС и МОТП, РАСШИРЕННЫЙ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опер"&amp;"ации: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"&amp;"возможность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7" s="4" t="str">
        <f ca="1">IFERROR(__xludf.DUMMYFUNCTION("""COMPUTED_VALUE"""),"Переход на Mobile SMARTS: Магазин 15 с ЕГАИС и МОТП, РАСШИРЕННЫЙ для «ДАЛИОН: ТРЕНД 3.0»")</f>
        <v>Переход на Mobile SMARTS: Магазин 15 с ЕГАИС и МОТП, РАСШИРЕННЫЙ для «ДАЛИОН: ТРЕНД 3.0»</v>
      </c>
      <c r="F467" s="5">
        <f ca="1">IFERROR(__xludf.DUMMYFUNCTION("""COMPUTED_VALUE"""),9275)</f>
        <v>9275</v>
      </c>
    </row>
    <row r="468" spans="1:6" ht="44.25" customHeight="1" x14ac:dyDescent="0.2">
      <c r="A468" s="4" t="str">
        <f ca="1">IFERROR(__xludf.DUMMYFUNCTION("""COMPUTED_VALUE"""),"«ДАЛИОН: ТРЕНД 3.0»")</f>
        <v>«ДАЛИОН: ТРЕНД 3.0»</v>
      </c>
      <c r="B468" s="4" t="str">
        <f ca="1">IFERROR(__xludf.DUMMYFUNCTION("""COMPUTED_VALUE"""),"с ЕГАИС и МОТП, МЕГАМАРКЕТ")</f>
        <v>с ЕГАИС и МОТП, МЕГАМАРКЕТ</v>
      </c>
      <c r="C468" s="4" t="str">
        <f ca="1">IFERROR(__xludf.DUMMYFUNCTION("""COMPUTED_VALUE"""),"UP2-RTL15CET-DALIONTREND30")</f>
        <v>UP2-RTL15CET-DALIONTREND30</v>
      </c>
      <c r="D468" s="4" t="str">
        <f ca="1">IFERROR(__xludf.DUMMYFUNCTION("""COMPUTED_VALUE"""),"Переход на Mobile SMARTS: Магазин 15 с ЕГАИС и МОТП, МЕГАМАРКЕТ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опера"&amp;"ции: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штр"&amp;"ихкодов,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8" s="4" t="str">
        <f ca="1">IFERROR(__xludf.DUMMYFUNCTION("""COMPUTED_VALUE"""),"Переход на Mobile SMARTS: Магазин 15 с ЕГАИС и МОТП, МЕГАМАРКЕТ для «ДАЛИОН: ТРЕНД 3.0»")</f>
        <v>Переход на Mobile SMARTS: Магазин 15 с ЕГАИС и МОТП, МЕГАМАРКЕТ для «ДАЛИОН: ТРЕНД 3.0»</v>
      </c>
      <c r="F468" s="5">
        <f ca="1">IFERROR(__xludf.DUMMYFUNCTION("""COMPUTED_VALUE"""),13175)</f>
        <v>13175</v>
      </c>
    </row>
    <row r="469" spans="1:6" ht="44.25" customHeight="1" x14ac:dyDescent="0.2">
      <c r="A469" s="4" t="str">
        <f ca="1">IFERROR(__xludf.DUMMYFUNCTION("""COMPUTED_VALUE"""),"«ДАЛИОН: ТРЕНД 3.0»")</f>
        <v>«ДАЛИОН: ТРЕНД 3.0»</v>
      </c>
      <c r="B469" s="4" t="str">
        <f ca="1">IFERROR(__xludf.DUMMYFUNCTION("""COMPUTED_VALUE"""),"ШМОТКИ, БАЗОВЫЙ")</f>
        <v>ШМОТКИ, БАЗОВЫЙ</v>
      </c>
      <c r="C469" s="4" t="str">
        <f ca="1">IFERROR(__xludf.DUMMYFUNCTION("""COMPUTED_VALUE"""),"UP2-RTL15AK-DALIONTREND30")</f>
        <v>UP2-RTL15AK-DALIONTREND30</v>
      </c>
      <c r="D469" s="4" t="str">
        <f ca="1">IFERROR(__xludf.DUMMYFUNCTION("""COMPUTED_VALUE"""),"Переход на Mobile SMARTS: Магазин 15 ШМОТКИ, БАЗОВЫЙ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опер"&amp;"ации: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возмож"&amp;"ности: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(од"&amp;"ин) год")</f>
        <v>Переход на Mobile SMARTS: Магазин 15 ШМОТКИ, БАЗОВЫЙ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9" s="4" t="str">
        <f ca="1">IFERROR(__xludf.DUMMYFUNCTION("""COMPUTED_VALUE"""),"Переход на Mobile SMARTS: Магазин 15 ШМОТКИ, БАЗОВЫЙ для «ДАЛИОН: ТРЕНД 3.0», для работы с маркированным товаром: ОБУВЬ, ОДЕЖДА, ПАРФЮМ, ШИНЫ и товары по штрихкодам ")</f>
        <v xml:space="preserve">Переход на Mobile SMARTS: Магазин 15 ШМОТКИ, БАЗОВЫЙ для «ДАЛИОН: ТРЕНД 3.0», для работы с маркированным товаром: ОБУВЬ, ОДЕЖДА, ПАРФЮМ, ШИНЫ и товары по штрихкодам </v>
      </c>
      <c r="F469" s="5">
        <f ca="1">IFERROR(__xludf.DUMMYFUNCTION("""COMPUTED_VALUE"""),6075)</f>
        <v>6075</v>
      </c>
    </row>
    <row r="470" spans="1:6" ht="44.25" customHeight="1" x14ac:dyDescent="0.2">
      <c r="A470" s="4" t="str">
        <f ca="1">IFERROR(__xludf.DUMMYFUNCTION("""COMPUTED_VALUE"""),"«ДАЛИОН: ТРЕНД 3.0»")</f>
        <v>«ДАЛИОН: ТРЕНД 3.0»</v>
      </c>
      <c r="B470" s="4" t="str">
        <f ca="1">IFERROR(__xludf.DUMMYFUNCTION("""COMPUTED_VALUE"""),"ШМОТКИ, РАСШИРЕННЫЙ")</f>
        <v>ШМОТКИ, РАСШИРЕННЫЙ</v>
      </c>
      <c r="C470" s="4" t="str">
        <f ca="1">IFERROR(__xludf.DUMMYFUNCTION("""COMPUTED_VALUE"""),"UP2-RTL15BK-DALIONTREND30")</f>
        <v>UP2-RTL15BK-DALIONTREND30</v>
      </c>
      <c r="D470" s="4" t="str">
        <f ca="1">IFERROR(__xludf.DUMMYFUNCTION("""COMPUTED_VALUE"""),"Переход на Mobile SMARTS: Магазин 15 ШМОТКИ, РАСШИРЕННЫЙ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Переход на Mobile SMARTS: Магазин 15 ШМОТКИ, РАСШИРЕННЫЙ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0" s="4" t="str">
        <f ca="1">IFERROR(__xludf.DUMMYFUNCTION("""COMPUTED_VALUE"""),"Переход на Mobile SMARTS: Магазин 15 ШМОТКИ, РАСШИРЕННЫЙ для «ДАЛИОН: ТРЕНД 3.0», для работы с маркированным товаром: ОБУВЬ, ОДЕЖДА, ПАРФЮМ, ШИНЫ и товары по штрихкодам ")</f>
        <v xml:space="preserve">Переход на Mobile SMARTS: Магазин 15 ШМОТКИ, РАСШИРЕННЫЙ для «ДАЛИОН: ТРЕНД 3.0», для работы с маркированным товаром: ОБУВЬ, ОДЕЖДА, ПАРФЮМ, ШИНЫ и товары по штрихкодам </v>
      </c>
      <c r="F470" s="5">
        <f ca="1">IFERROR(__xludf.DUMMYFUNCTION("""COMPUTED_VALUE"""),9275)</f>
        <v>9275</v>
      </c>
    </row>
    <row r="471" spans="1:6" ht="44.25" customHeight="1" x14ac:dyDescent="0.2">
      <c r="A471" s="4" t="str">
        <f ca="1">IFERROR(__xludf.DUMMYFUNCTION("""COMPUTED_VALUE"""),"«ДАЛИОН: ТРЕНД 3.0»")</f>
        <v>«ДАЛИОН: ТРЕНД 3.0»</v>
      </c>
      <c r="B471" s="4" t="str">
        <f ca="1">IFERROR(__xludf.DUMMYFUNCTION("""COMPUTED_VALUE"""),"ШМОТКИ, МЕГАМАРКЕТ")</f>
        <v>ШМОТКИ, МЕГАМАРКЕТ</v>
      </c>
      <c r="C471" s="4" t="str">
        <f ca="1">IFERROR(__xludf.DUMMYFUNCTION("""COMPUTED_VALUE"""),"UP2-RTL15CK-DALIONTREND30")</f>
        <v>UP2-RTL15CK-DALIONTREND30</v>
      </c>
      <c r="D471" s="4" t="str">
        <f ca="1">IFERROR(__xludf.DUMMYFUNCTION("""COMPUTED_VALUE"""),"Переход на Mobile SMARTS: Магазин 15 ШМОТКИ, МЕГАМАРКЕТ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Переход на Mobile SMARTS: Магазин 15 ШМОТКИ, МЕГАМАРКЕТ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1" s="4" t="str">
        <f ca="1">IFERROR(__xludf.DUMMYFUNCTION("""COMPUTED_VALUE"""),"Переход на Mobile SMARTS: Магазин 15 ШМОТКИ, МЕГАМАРКЕТ для «ДАЛИОН: ТРЕНД 3.0», для работы с маркированным товаром: ОБУВЬ, ОДЕЖДА, ПАРФЮМ, ШИНЫ и товары по штрихкодам ")</f>
        <v xml:space="preserve">Переход на Mobile SMARTS: Магазин 15 ШМОТКИ, МЕГАМАРКЕТ для «ДАЛИОН: ТРЕНД 3.0», для работы с маркированным товаром: ОБУВЬ, ОДЕЖДА, ПАРФЮМ, ШИНЫ и товары по штрихкодам </v>
      </c>
      <c r="F471" s="5">
        <f ca="1">IFERROR(__xludf.DUMMYFUNCTION("""COMPUTED_VALUE"""),13175)</f>
        <v>13175</v>
      </c>
    </row>
    <row r="472" spans="1:6" ht="44.25" customHeight="1" x14ac:dyDescent="0.2">
      <c r="A472" s="4" t="str">
        <f ca="1">IFERROR(__xludf.DUMMYFUNCTION("""COMPUTED_VALUE"""),"«ДАЛИОН: ТРЕНД 3.0»")</f>
        <v>«ДАЛИОН: ТРЕНД 3.0»</v>
      </c>
      <c r="B472" s="4" t="str">
        <f ca="1">IFERROR(__xludf.DUMMYFUNCTION("""COMPUTED_VALUE"""),"ПРОДУКТОВЫЙ, БАЗОВЫЙ")</f>
        <v>ПРОДУКТОВЫЙ, БАЗОВЫЙ</v>
      </c>
      <c r="C472" s="4" t="str">
        <f ca="1">IFERROR(__xludf.DUMMYFUNCTION("""COMPUTED_VALUE"""),"UP2-RTL15AG-DALIONTREND30")</f>
        <v>UP2-RTL15AG-DALIONTREND30</v>
      </c>
      <c r="D472" s="4" t="str">
        <f ca="1">IFERROR(__xludf.DUMMYFUNCTION("""COMPUTED_VALUE"""),"Переход на 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чере"&amp;"з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т"&amp;".ч.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2" s="4" t="str">
        <f ca="1">IFERROR(__xludf.DUMMYFUNCTION("""COMPUTED_VALUE"""),"Переход на 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</v>
      </c>
      <c r="F472" s="5">
        <f ca="1">IFERROR(__xludf.DUMMYFUNCTION("""COMPUTED_VALUE"""),7275)</f>
        <v>7275</v>
      </c>
    </row>
    <row r="473" spans="1:6" ht="44.25" customHeight="1" x14ac:dyDescent="0.2">
      <c r="A473" s="4" t="str">
        <f ca="1">IFERROR(__xludf.DUMMYFUNCTION("""COMPUTED_VALUE"""),"«ДАЛИОН: ТРЕНД 3.0»")</f>
        <v>«ДАЛИОН: ТРЕНД 3.0»</v>
      </c>
      <c r="B473" s="4" t="str">
        <f ca="1">IFERROR(__xludf.DUMMYFUNCTION("""COMPUTED_VALUE"""),"ПРОДУКТОВЫЙ, РАСШИРЕННЫЙ")</f>
        <v>ПРОДУКТОВЫЙ, РАСШИРЕННЫЙ</v>
      </c>
      <c r="C473" s="4" t="str">
        <f ca="1">IFERROR(__xludf.DUMMYFUNCTION("""COMPUTED_VALUE"""),"UP2-RTL15BG-DALIONTREND30")</f>
        <v>UP2-RTL15BG-DALIONTREND30</v>
      </c>
      <c r="D473" s="4" t="str">
        <f ca="1">IFERROR(__xludf.DUMMYFUNCTION("""COMPUTED_VALUE"""),"Переход на 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"&amp;"через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3" s="4" t="str">
        <f ca="1">IFERROR(__xludf.DUMMYFUNCTION("""COMPUTED_VALUE"""),"Переход на 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</v>
      </c>
      <c r="F473" s="5">
        <f ca="1">IFERROR(__xludf.DUMMYFUNCTION("""COMPUTED_VALUE"""),10475)</f>
        <v>10475</v>
      </c>
    </row>
    <row r="474" spans="1:6" ht="44.25" customHeight="1" x14ac:dyDescent="0.2">
      <c r="A474" s="4" t="str">
        <f ca="1">IFERROR(__xludf.DUMMYFUNCTION("""COMPUTED_VALUE"""),"«ДАЛИОН: ТРЕНД 3.0»")</f>
        <v>«ДАЛИОН: ТРЕНД 3.0»</v>
      </c>
      <c r="B474" s="4" t="str">
        <f ca="1">IFERROR(__xludf.DUMMYFUNCTION("""COMPUTED_VALUE"""),"ПРОДУКТОВЫЙ, МЕГАМАРКЕТ")</f>
        <v>ПРОДУКТОВЫЙ, МЕГАМАРКЕТ</v>
      </c>
      <c r="C474" s="4" t="str">
        <f ca="1">IFERROR(__xludf.DUMMYFUNCTION("""COMPUTED_VALUE"""),"UP2-RTL15CG-DALIONTREND30")</f>
        <v>UP2-RTL15CG-DALIONTREND30</v>
      </c>
      <c r="D474" s="4" t="str">
        <f ca="1">IFERROR(__xludf.DUMMYFUNCTION("""COMPUTED_VALUE"""),"Переход на 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ч"&amp;"ерез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("&amp;"в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контрагентах"&amp;",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4" s="4" t="str">
        <f ca="1">IFERROR(__xludf.DUMMYFUNCTION("""COMPUTED_VALUE"""),"Переход на 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")</f>
        <v xml:space="preserve">Переход на 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</v>
      </c>
      <c r="F474" s="5">
        <f ca="1">IFERROR(__xludf.DUMMYFUNCTION("""COMPUTED_VALUE"""),14125)</f>
        <v>14125</v>
      </c>
    </row>
    <row r="475" spans="1:6" ht="44.25" customHeight="1" x14ac:dyDescent="0.2">
      <c r="A475" s="4"/>
      <c r="B475" s="4"/>
      <c r="C475" s="4" t="str">
        <f ca="1">IFERROR(__xludf.DUMMYFUNCTION("""COMPUTED_VALUE"""),"UP2-")</f>
        <v>UP2-</v>
      </c>
      <c r="D475" s="4" t="str">
        <f ca="1">IFERROR(__xludf.DUMMYFUNCTION("""COMPUTED_VALUE"""),"Переход на Лицензии для «Астор» стандартные")</f>
        <v>Переход на Лицензии для «Астор» стандартные</v>
      </c>
      <c r="E475" s="4" t="str">
        <f ca="1">IFERROR(__xludf.DUMMYFUNCTION("""COMPUTED_VALUE"""),"#VALUE!")</f>
        <v>#VALUE!</v>
      </c>
      <c r="F475" s="4" t="str">
        <f ca="1">IFERROR(__xludf.DUMMYFUNCTION("""COMPUTED_VALUE"""),"#N/A")</f>
        <v>#N/A</v>
      </c>
    </row>
    <row r="476" spans="1:6" ht="44.25" customHeight="1" x14ac:dyDescent="0.2">
      <c r="A476" s="4" t="str">
        <f ca="1">IFERROR(__xludf.DUMMYFUNCTION("""COMPUTED_VALUE"""),"«АСТОР: Ваш магазин 7 SE»")</f>
        <v>«АСТОР: Ваш магазин 7 SE»</v>
      </c>
      <c r="B476" s="4" t="str">
        <f ca="1">IFERROR(__xludf.DUMMYFUNCTION("""COMPUTED_VALUE"""),"МИНИМУМ")</f>
        <v>МИНИМУМ</v>
      </c>
      <c r="C476" s="4" t="str">
        <f ca="1">IFERROR(__xludf.DUMMYFUNCTION("""COMPUTED_VALUE"""),"UP2-RTL15M-ASTORYM7SE")</f>
        <v>UP2-RTL15M-ASTORYM7SE</v>
      </c>
      <c r="D476" s="4" t="str">
        <f ca="1">IFERROR(__xludf.DUMMYFUNCTION("""COMPUTED_VALUE"""),"Переход на Mobile SMARTS: Магазин 15, МИНИМУМ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товар"&amp;"ов,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(о"&amp;"дин) год")</f>
        <v>Переход на Mobile SMARTS: Магазин 15, МИНИМУМ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76" s="4" t="str">
        <f ca="1">IFERROR(__xludf.DUMMYFUNCTION("""COMPUTED_VALUE"""),"Переход на Mobile SMARTS: Магазин 15, МИНИМУМ для «АСТОР: Ваш магазин 7 SE», для работы с товаром по штрихкодам ")</f>
        <v xml:space="preserve">Переход на Mobile SMARTS: Магазин 15, МИНИМУМ для «АСТОР: Ваш магазин 7 SE», для работы с товаром по штрихкодам </v>
      </c>
      <c r="F476" s="5">
        <f ca="1">IFERROR(__xludf.DUMMYFUNCTION("""COMPUTED_VALUE"""),1725)</f>
        <v>1725</v>
      </c>
    </row>
    <row r="477" spans="1:6" ht="44.25" customHeight="1" x14ac:dyDescent="0.2">
      <c r="A477" s="4" t="str">
        <f ca="1">IFERROR(__xludf.DUMMYFUNCTION("""COMPUTED_VALUE"""),"«АСТОР: Ваш магазин 7 SE»")</f>
        <v>«АСТОР: Ваш магазин 7 SE»</v>
      </c>
      <c r="B477" s="4" t="str">
        <f ca="1">IFERROR(__xludf.DUMMYFUNCTION("""COMPUTED_VALUE"""),"БАЗОВЫЙ")</f>
        <v>БАЗОВЫЙ</v>
      </c>
      <c r="C477" s="4" t="str">
        <f ca="1">IFERROR(__xludf.DUMMYFUNCTION("""COMPUTED_VALUE"""),"UP2-RTL15A-ASTORYM7SE")</f>
        <v>UP2-RTL15A-ASTORYM7SE</v>
      </c>
      <c r="D477" s="4" t="str">
        <f ca="1">IFERROR(__xludf.DUMMYFUNCTION("""COMPUTED_VALUE"""),"Переход на Mobile SMARTS: Магазин 15, БАЗОВЫЙ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т.ч."&amp;"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существ"&amp;"ующих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7" s="4" t="str">
        <f ca="1">IFERROR(__xludf.DUMMYFUNCTION("""COMPUTED_VALUE"""),"Переход на Mobile SMARTS: Магазин 15, БАЗОВЫЙ для «АСТОР: Ваш магазин 7 SE», для работы с товаром по штрихкодам ")</f>
        <v xml:space="preserve">Переход на Mobile SMARTS: Магазин 15, БАЗОВЫЙ для «АСТОР: Ваш магазин 7 SE», для работы с товаром по штрихкодам </v>
      </c>
      <c r="F477" s="5">
        <f ca="1">IFERROR(__xludf.DUMMYFUNCTION("""COMPUTED_VALUE"""),4325)</f>
        <v>4325</v>
      </c>
    </row>
    <row r="478" spans="1:6" ht="44.25" customHeight="1" x14ac:dyDescent="0.2">
      <c r="A478" s="4" t="str">
        <f ca="1">IFERROR(__xludf.DUMMYFUNCTION("""COMPUTED_VALUE"""),"«АСТОР: Ваш магазин 7 SE»")</f>
        <v>«АСТОР: Ваш магазин 7 SE»</v>
      </c>
      <c r="B478" s="4" t="str">
        <f ca="1">IFERROR(__xludf.DUMMYFUNCTION("""COMPUTED_VALUE"""),"РАСШИРЕННЫЙ")</f>
        <v>РАСШИРЕННЫЙ</v>
      </c>
      <c r="C478" s="4" t="str">
        <f ca="1">IFERROR(__xludf.DUMMYFUNCTION("""COMPUTED_VALUE"""),"UP2-RTL15B-ASTORYM7SE")</f>
        <v>UP2-RTL15B-ASTORYM7SE</v>
      </c>
      <c r="D478" s="4" t="str">
        <f ca="1">IFERROR(__xludf.DUMMYFUNCTION("""COMPUTED_VALUE"""),"Переход на Mobile SMARTS: Магазин 15, РАСШИРЕННЫЙ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"&amp;"т.ч.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сущ"&amp;"ествующих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8" s="4" t="str">
        <f ca="1">IFERROR(__xludf.DUMMYFUNCTION("""COMPUTED_VALUE"""),"Переход на Mobile SMARTS: Магазин 15, РАСШИРЕННЫЙ для «АСТОР: Ваш магазин 7 SE», для работы с товаром по штрихкодам ")</f>
        <v xml:space="preserve">Переход на Mobile SMARTS: Магазин 15, РАСШИРЕННЫЙ для «АСТОР: Ваш магазин 7 SE», для работы с товаром по штрихкодам </v>
      </c>
      <c r="F478" s="5">
        <f ca="1">IFERROR(__xludf.DUMMYFUNCTION("""COMPUTED_VALUE"""),7525)</f>
        <v>7525</v>
      </c>
    </row>
    <row r="479" spans="1:6" ht="44.25" customHeight="1" x14ac:dyDescent="0.2">
      <c r="A479" s="4" t="str">
        <f ca="1">IFERROR(__xludf.DUMMYFUNCTION("""COMPUTED_VALUE"""),"«АСТОР: Ваш магазин 7 SE»")</f>
        <v>«АСТОР: Ваш магазин 7 SE»</v>
      </c>
      <c r="B479" s="4" t="str">
        <f ca="1">IFERROR(__xludf.DUMMYFUNCTION("""COMPUTED_VALUE"""),"МЕГАМАРКЕТ")</f>
        <v>МЕГАМАРКЕТ</v>
      </c>
      <c r="C479" s="4" t="str">
        <f ca="1">IFERROR(__xludf.DUMMYFUNCTION("""COMPUTED_VALUE"""),"UP2-RTL15C-ASTORYM7SE")</f>
        <v>UP2-RTL15C-ASTORYM7SE</v>
      </c>
      <c r="D479" s="4" t="str">
        <f ca="1">IFERROR(__xludf.DUMMYFUNCTION("""COMPUTED_VALUE"""),"Переход на Mobile SMARTS: Магазин 15, МЕГАМАРКЕТ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9" s="4" t="str">
        <f ca="1">IFERROR(__xludf.DUMMYFUNCTION("""COMPUTED_VALUE"""),"Переход на Mobile SMARTS: Магазин 15, МЕГАМАРКЕТ для «АСТОР: Ваш магазин 7 SE», для работы с товаром по штрихкодам ")</f>
        <v xml:space="preserve">Переход на Mobile SMARTS: Магазин 15, МЕГАМАРКЕТ для «АСТОР: Ваш магазин 7 SE», для работы с товаром по штрихкодам </v>
      </c>
      <c r="F479" s="5">
        <f ca="1">IFERROR(__xludf.DUMMYFUNCTION("""COMPUTED_VALUE"""),10775)</f>
        <v>10775</v>
      </c>
    </row>
    <row r="480" spans="1:6" ht="44.25" customHeight="1" x14ac:dyDescent="0.2">
      <c r="A480" s="4" t="str">
        <f ca="1">IFERROR(__xludf.DUMMYFUNCTION("""COMPUTED_VALUE"""),"«АСТОР: Ваш магазин 7 SE»")</f>
        <v>«АСТОР: Ваш магазин 7 SE»</v>
      </c>
      <c r="B480" s="4" t="str">
        <f ca="1">IFERROR(__xludf.DUMMYFUNCTION("""COMPUTED_VALUE"""),"с ЕГАИС, БАЗОВЫЙ")</f>
        <v>с ЕГАИС, БАЗОВЫЙ</v>
      </c>
      <c r="C480" s="4" t="str">
        <f ca="1">IFERROR(__xludf.DUMMYFUNCTION("""COMPUTED_VALUE"""),"UP2-RTL15AE-ASTORYM7SE")</f>
        <v>UP2-RTL15AE-ASTORYM7SE</v>
      </c>
      <c r="D480" s="4" t="str">
        <f ca="1">IFERROR(__xludf.DUMMYFUNCTION("""COMPUTED_VALUE"""),"Переход на Mobile SMARTS: Магазин 15 с ЕГАИС, БАЗОВЫЙ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"&amp;"сбор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инфор"&amp;"мация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80" s="4" t="str">
        <f ca="1">IFERROR(__xludf.DUMMYFUNCTION("""COMPUTED_VALUE"""),"Переход на Mobile SMARTS: Магазин 15 с ЕГАИС, БАЗОВЫЙ для «АСТОР: Ваш магазин 7 SE», для работы с маркированным товаром: алкоголь ЕГАИС и товары по штрихкодам ")</f>
        <v xml:space="preserve">Переход на Mobile SMARTS: Магазин 15 с ЕГАИС, БАЗОВЫЙ для «АСТОР: Ваш магазин 7 SE», для работы с маркированным товаром: алкоголь ЕГАИС и товары по штрихкодам </v>
      </c>
      <c r="F480" s="5">
        <f ca="1">IFERROR(__xludf.DUMMYFUNCTION("""COMPUTED_VALUE"""),5500)</f>
        <v>5500</v>
      </c>
    </row>
    <row r="481" spans="1:6" ht="44.25" customHeight="1" x14ac:dyDescent="0.2">
      <c r="A481" s="4" t="str">
        <f ca="1">IFERROR(__xludf.DUMMYFUNCTION("""COMPUTED_VALUE"""),"«АСТОР: Ваш магазин 7 SE»")</f>
        <v>«АСТОР: Ваш магазин 7 SE»</v>
      </c>
      <c r="B481" s="4" t="str">
        <f ca="1">IFERROR(__xludf.DUMMYFUNCTION("""COMPUTED_VALUE"""),"с ЕГАИС, РАСШИРЕННЫЙ")</f>
        <v>с ЕГАИС, РАСШИРЕННЫЙ</v>
      </c>
      <c r="C481" s="4" t="str">
        <f ca="1">IFERROR(__xludf.DUMMYFUNCTION("""COMPUTED_VALUE"""),"UP2-RTL15BE-ASTORYM7SE")</f>
        <v>UP2-RTL15BE-ASTORYM7SE</v>
      </c>
      <c r="D481" s="4" t="str">
        <f ca="1">IFERROR(__xludf.DUMMYFUNCTION("""COMPUTED_VALUE"""),"Переход на Mobile SMARTS: Магазин 15 с ЕГАИС, РАСШИРЕННЫЙ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операц"&amp;"ии: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и"&amp;"нформация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РАСШИРЕННЫЙ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1" s="4" t="str">
        <f ca="1">IFERROR(__xludf.DUMMYFUNCTION("""COMPUTED_VALUE"""),"Переход на Mobile SMARTS: Магазин 15 с ЕГАИС, РАСШИРЕННЫЙ для «АСТОР: Ваш магазин 7 SE», для работы с маркированным товаром: алкоголь ЕГАИС и товары по штрихкодам ")</f>
        <v xml:space="preserve">Переход на Mobile SMARTS: Магазин 15 с ЕГАИС, РАСШИРЕННЫЙ для «АСТОР: Ваш магазин 7 SE», для работы с маркированным товаром: алкоголь ЕГАИС и товары по штрихкодам </v>
      </c>
      <c r="F481" s="5">
        <f ca="1">IFERROR(__xludf.DUMMYFUNCTION("""COMPUTED_VALUE"""),8725)</f>
        <v>8725</v>
      </c>
    </row>
    <row r="482" spans="1:6" ht="44.25" customHeight="1" x14ac:dyDescent="0.2">
      <c r="A482" s="4" t="str">
        <f ca="1">IFERROR(__xludf.DUMMYFUNCTION("""COMPUTED_VALUE"""),"«АСТОР: Ваш магазин 7 SE»")</f>
        <v>«АСТОР: Ваш магазин 7 SE»</v>
      </c>
      <c r="B482" s="4" t="str">
        <f ca="1">IFERROR(__xludf.DUMMYFUNCTION("""COMPUTED_VALUE"""),"с ЕГАИС (без CheckMark2), МЕГАМАРКЕТ")</f>
        <v>с ЕГАИС (без CheckMark2), МЕГАМАРКЕТ</v>
      </c>
      <c r="C482" s="4" t="str">
        <f ca="1">IFERROR(__xludf.DUMMYFUNCTION("""COMPUTED_VALUE"""),"UP2-RTL15CEV-ASTORYM7SE")</f>
        <v>UP2-RTL15CEV-ASTORYM7SE</v>
      </c>
      <c r="D482" s="4" t="str">
        <f ca="1">IFERROR(__xludf.DUMMYFUNCTION("""COMPUTED_VALUE"""),"Переход на Mobile SMARTS: Магазин 15 с ЕГАИС (без CheckMark2), МЕГАМАРКЕТ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"&amp;"доступные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р"&amp;"абота,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о"&amp;"бмен через Интернет на 1 (один) год")</f>
        <v>Переход на Mobile SMARTS: Магазин 15 с ЕГАИС (без CheckMark2), МЕГАМАРКЕТ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2" s="4" t="str">
        <f ca="1">IFERROR(__xludf.DUMMYFUNCTION("""COMPUTED_VALUE"""),"Переход на Mobile SMARTS: Магазин 15 с ЕГАИС (без CheckMark2), МЕГАМАРКЕТ для «АСТОР: Ваш магазин 7 SE»,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«АСТОР: Ваш магазин 7 SE», для работы с маркированным товаром: алкоголь ЕГАИС и товары по штрихкодам </v>
      </c>
      <c r="F482" s="5">
        <f ca="1">IFERROR(__xludf.DUMMYFUNCTION("""COMPUTED_VALUE"""),11925)</f>
        <v>11925</v>
      </c>
    </row>
    <row r="483" spans="1:6" ht="44.25" customHeight="1" x14ac:dyDescent="0.2">
      <c r="A483" s="4" t="str">
        <f ca="1">IFERROR(__xludf.DUMMYFUNCTION("""COMPUTED_VALUE"""),"«АСТОР: Ваш магазин 7 SE»")</f>
        <v>«АСТОР: Ваш магазин 7 SE»</v>
      </c>
      <c r="B483" s="4" t="str">
        <f ca="1">IFERROR(__xludf.DUMMYFUNCTION("""COMPUTED_VALUE"""),"с МОТП, БАЗОВЫЙ")</f>
        <v>с МОТП, БАЗОВЫЙ</v>
      </c>
      <c r="C483" s="4" t="str">
        <f ca="1">IFERROR(__xludf.DUMMYFUNCTION("""COMPUTED_VALUE"""),"UP2-RTL15AT-ASTORYM7SE")</f>
        <v>UP2-RTL15AT-ASTORYM7SE</v>
      </c>
      <c r="D483" s="4" t="str">
        <f ca="1">IFERROR(__xludf.DUMMYFUNCTION("""COMPUTED_VALUE"""),"Переход на Mobile SMARTS: Магазин 15 с МОТП, БАЗОВЫЙ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поступлени"&amp;"е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информаци"&amp;"я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3" s="4" t="str">
        <f ca="1">IFERROR(__xludf.DUMMYFUNCTION("""COMPUTED_VALUE"""),"Переход на Mobile SMARTS: Магазин 15 с МОТП, БАЗОВЫЙ для «АСТОР: Ваш магазин 7 SE», для работы с маркированным товаром: ТАБАК и товары по штрихкодам ")</f>
        <v xml:space="preserve">Переход на Mobile SMARTS: Магазин 15 с МОТП, БАЗОВЫЙ для «АСТОР: Ваш магазин 7 SE», для работы с маркированным товаром: ТАБАК и товары по штрихкодам </v>
      </c>
      <c r="F483" s="5">
        <f ca="1">IFERROR(__xludf.DUMMYFUNCTION("""COMPUTED_VALUE"""),5575)</f>
        <v>5575</v>
      </c>
    </row>
    <row r="484" spans="1:6" ht="44.25" customHeight="1" x14ac:dyDescent="0.2">
      <c r="A484" s="4" t="str">
        <f ca="1">IFERROR(__xludf.DUMMYFUNCTION("""COMPUTED_VALUE"""),"«АСТОР: Ваш магазин 7 SE»")</f>
        <v>«АСТОР: Ваш магазин 7 SE»</v>
      </c>
      <c r="B484" s="4" t="str">
        <f ca="1">IFERROR(__xludf.DUMMYFUNCTION("""COMPUTED_VALUE"""),"с МОТП, РАСШИРЕННЫЙ")</f>
        <v>с МОТП, РАСШИРЕННЫЙ</v>
      </c>
      <c r="C484" s="4" t="str">
        <f ca="1">IFERROR(__xludf.DUMMYFUNCTION("""COMPUTED_VALUE"""),"UP2-RTL15BT-ASTORYM7SE")</f>
        <v>UP2-RTL15BT-ASTORYM7SE</v>
      </c>
      <c r="D484" s="4" t="str">
        <f ca="1">IFERROR(__xludf.DUMMYFUNCTION("""COMPUTED_VALUE"""),"Переход на Mobile SMARTS: Магазин 15 с МОТП, РАСШИРЕННЫЙ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поступ"&amp;"ление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РАСШИРЕННЫЙ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4" s="4" t="str">
        <f ca="1">IFERROR(__xludf.DUMMYFUNCTION("""COMPUTED_VALUE"""),"Переход на Mobile SMARTS: Магазин 15 с МОТП, РАСШИРЕННЫЙ для «АСТОР: Ваш магазин 7 SE», для работы с маркированным товаром: ТАБАК и товары по штрихкодам ")</f>
        <v xml:space="preserve">Переход на Mobile SMARTS: Магазин 15 с МОТП, РАСШИРЕННЫЙ для «АСТОР: Ваш магазин 7 SE», для работы с маркированным товаром: ТАБАК и товары по штрихкодам </v>
      </c>
      <c r="F484" s="5">
        <f ca="1">IFERROR(__xludf.DUMMYFUNCTION("""COMPUTED_VALUE"""),8725)</f>
        <v>8725</v>
      </c>
    </row>
    <row r="485" spans="1:6" ht="44.25" customHeight="1" x14ac:dyDescent="0.2">
      <c r="A485" s="4" t="str">
        <f ca="1">IFERROR(__xludf.DUMMYFUNCTION("""COMPUTED_VALUE"""),"«АСТОР: Ваш магазин 7 SE»")</f>
        <v>«АСТОР: Ваш магазин 7 SE»</v>
      </c>
      <c r="B485" s="4" t="str">
        <f ca="1">IFERROR(__xludf.DUMMYFUNCTION("""COMPUTED_VALUE"""),"с МОТП, МЕГАМАРКЕТ")</f>
        <v>с МОТП, МЕГАМАРКЕТ</v>
      </c>
      <c r="C485" s="4" t="str">
        <f ca="1">IFERROR(__xludf.DUMMYFUNCTION("""COMPUTED_VALUE"""),"UP2-RTL15CT-ASTORYM7SE")</f>
        <v>UP2-RTL15CT-ASTORYM7SE</v>
      </c>
      <c r="D485" s="4" t="str">
        <f ca="1">IFERROR(__xludf.DUMMYFUNCTION("""COMPUTED_VALUE"""),"Переход на Mobile SMARTS: Магазин 15 с МОТП, МЕГАМАРКЕТ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поступл"&amp;"ение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коллек"&amp;"тивная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Переход на Mobile SMARTS: Магазин 15 с МОТП, МЕГАМАРКЕТ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5" s="4" t="str">
        <f ca="1">IFERROR(__xludf.DUMMYFUNCTION("""COMPUTED_VALUE"""),"Переход на Mobile SMARTS: Магазин 15 с МОТП, МЕГАМАРКЕТ для «АСТОР: Ваш магазин 7 SE», для работы с маркированным товаром: ТАБАК и товары по штрихкодам ")</f>
        <v xml:space="preserve">Переход на Mobile SMARTS: Магазин 15 с МОТП, МЕГАМАРКЕТ для «АСТОР: Ваш магазин 7 SE», для работы с маркированным товаром: ТАБАК и товары по штрихкодам </v>
      </c>
      <c r="F485" s="5">
        <f ca="1">IFERROR(__xludf.DUMMYFUNCTION("""COMPUTED_VALUE"""),11925)</f>
        <v>11925</v>
      </c>
    </row>
    <row r="486" spans="1:6" ht="44.25" customHeight="1" x14ac:dyDescent="0.2">
      <c r="A486" s="4" t="str">
        <f ca="1">IFERROR(__xludf.DUMMYFUNCTION("""COMPUTED_VALUE"""),"«АСТОР: Ваш магазин 7 SE»")</f>
        <v>«АСТОР: Ваш магазин 7 SE»</v>
      </c>
      <c r="B486" s="4" t="str">
        <f ca="1">IFERROR(__xludf.DUMMYFUNCTION("""COMPUTED_VALUE"""),"с ЕГАИС и МОТП, БАЗОВЫЙ")</f>
        <v>с ЕГАИС и МОТП, БАЗОВЫЙ</v>
      </c>
      <c r="C486" s="4" t="str">
        <f ca="1">IFERROR(__xludf.DUMMYFUNCTION("""COMPUTED_VALUE"""),"UP2-RTL15AET-ASTORYM7SE")</f>
        <v>UP2-RTL15AET-ASTORYM7SE</v>
      </c>
      <c r="D486" s="4" t="str">
        <f ca="1">IFERROR(__xludf.DUMMYFUNCTION("""COMPUTED_VALUE"""),"Переход на Mobile SMARTS: Магазин 15 с ЕГАИС и МОТП, БАЗОВЫЙ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оп"&amp;"ерации: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"&amp;"штрихкодов,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"&amp;"/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6" s="4" t="str">
        <f ca="1">IFERROR(__xludf.DUMMYFUNCTION("""COMPUTED_VALUE"""),"Переход на Mobile SMARTS: Магазин 15 с ЕГАИС и МОТП, БАЗОВЫЙ для «АСТОР: Ваш магазин 7 SE»,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«АСТОР: Ваш магазин 7 SE», для работы с маркированным товаром: АЛКОГОЛЬ, ТАБАК и товары по штрихкодам </v>
      </c>
      <c r="F486" s="5">
        <f ca="1">IFERROR(__xludf.DUMMYFUNCTION("""COMPUTED_VALUE"""),6075)</f>
        <v>6075</v>
      </c>
    </row>
    <row r="487" spans="1:6" ht="44.25" customHeight="1" x14ac:dyDescent="0.2">
      <c r="A487" s="4" t="str">
        <f ca="1">IFERROR(__xludf.DUMMYFUNCTION("""COMPUTED_VALUE"""),"«АСТОР: Ваш магазин 7 SE»")</f>
        <v>«АСТОР: Ваш магазин 7 SE»</v>
      </c>
      <c r="B487" s="4" t="str">
        <f ca="1">IFERROR(__xludf.DUMMYFUNCTION("""COMPUTED_VALUE"""),"с ЕГАИС и МОТП, РАСШИРЕННЫЙ")</f>
        <v>с ЕГАИС и МОТП, РАСШИРЕННЫЙ</v>
      </c>
      <c r="C487" s="4" t="str">
        <f ca="1">IFERROR(__xludf.DUMMYFUNCTION("""COMPUTED_VALUE"""),"UP2-RTL15BET-ASTORYM7SE")</f>
        <v>UP2-RTL15BET-ASTORYM7SE</v>
      </c>
      <c r="D487" s="4" t="str">
        <f ca="1">IFERROR(__xludf.DUMMYFUNCTION("""COMPUTED_VALUE"""),"Переход на Mobile SMARTS: Магазин 15 с ЕГАИС и МОТП, РАСШИРЕННЫЙ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доступны"&amp;"е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опера"&amp;"ций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7" s="4" t="str">
        <f ca="1">IFERROR(__xludf.DUMMYFUNCTION("""COMPUTED_VALUE"""),"Переход на Mobile SMARTS: Магазин 15 с ЕГАИС и МОТП, РАСШИРЕННЫЙ для «АСТОР: Ваш магазин 7 SE»,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«АСТОР: Ваш магазин 7 SE», для работы с маркированным товаром: АЛКОГОЛЬ, ТАБАК и товары по штрихкодам </v>
      </c>
      <c r="F487" s="5">
        <f ca="1">IFERROR(__xludf.DUMMYFUNCTION("""COMPUTED_VALUE"""),9275)</f>
        <v>9275</v>
      </c>
    </row>
    <row r="488" spans="1:6" ht="44.25" customHeight="1" x14ac:dyDescent="0.2">
      <c r="A488" s="4" t="str">
        <f ca="1">IFERROR(__xludf.DUMMYFUNCTION("""COMPUTED_VALUE"""),"«АСТОР: Ваш магазин 7 SE»")</f>
        <v>«АСТОР: Ваш магазин 7 SE»</v>
      </c>
      <c r="B488" s="4" t="str">
        <f ca="1">IFERROR(__xludf.DUMMYFUNCTION("""COMPUTED_VALUE"""),"с ЕГАИС и МОТП, МЕГАМАРКЕТ")</f>
        <v>с ЕГАИС и МОТП, МЕГАМАРКЕТ</v>
      </c>
      <c r="C488" s="4" t="str">
        <f ca="1">IFERROR(__xludf.DUMMYFUNCTION("""COMPUTED_VALUE"""),"UP2-RTL15CET-ASTORYM7SE")</f>
        <v>UP2-RTL15CET-ASTORYM7SE</v>
      </c>
      <c r="D488" s="4" t="str">
        <f ca="1">IFERROR(__xludf.DUMMYFUNCTION("""COMPUTED_VALUE"""),"Переход на Mobile SMARTS: Магазин 15 с ЕГАИС и МОТП, МЕГАМАРКЕТ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доступные"&amp;"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изменени"&amp;"е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8" s="4" t="str">
        <f ca="1">IFERROR(__xludf.DUMMYFUNCTION("""COMPUTED_VALUE"""),"Переход на Mobile SMARTS: Магазин 15 с ЕГАИС и МОТП, МЕГАМАРКЕТ для «АСТОР: Ваш магазин 7 SE»,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«АСТОР: Ваш магазин 7 SE», для работы с маркированным товаром: АЛКОГОЛЬ, ТАБАК и товары по штрихкодам </v>
      </c>
      <c r="F488" s="5">
        <f ca="1">IFERROR(__xludf.DUMMYFUNCTION("""COMPUTED_VALUE"""),13175)</f>
        <v>13175</v>
      </c>
    </row>
    <row r="489" spans="1:6" ht="44.25" customHeight="1" x14ac:dyDescent="0.2">
      <c r="A489" s="4" t="str">
        <f ca="1">IFERROR(__xludf.DUMMYFUNCTION("""COMPUTED_VALUE"""),"«АСТОР: Торговая Сеть 7 SE»")</f>
        <v>«АСТОР: Торговая Сеть 7 SE»</v>
      </c>
      <c r="B489" s="4" t="str">
        <f ca="1">IFERROR(__xludf.DUMMYFUNCTION("""COMPUTED_VALUE"""),"МИНИМУМ")</f>
        <v>МИНИМУМ</v>
      </c>
      <c r="C489" s="4" t="str">
        <f ca="1">IFERROR(__xludf.DUMMYFUNCTION("""COMPUTED_VALUE"""),"UP2-RTL15M-ASTORRNSE7")</f>
        <v>UP2-RTL15M-ASTORRNSE7</v>
      </c>
      <c r="D489" s="4" t="str">
        <f ca="1">IFERROR(__xludf.DUMMYFUNCTION("""COMPUTED_VALUE"""),"Переход на Mobile SMARTS: Магазин 15, МИНИМУМ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тов"&amp;"аров,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"&amp;"(один) год")</f>
        <v>Переход на Mobile SMARTS: Магазин 15, МИНИМУМ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89" s="4" t="str">
        <f ca="1">IFERROR(__xludf.DUMMYFUNCTION("""COMPUTED_VALUE"""),"Переход на Mobile SMARTS: Магазин 15, МИНИМУМ для «АСТОР: Торговая Сеть 7 SE», для работы с товаром по штрихкодам ")</f>
        <v xml:space="preserve">Переход на Mobile SMARTS: Магазин 15, МИНИМУМ для «АСТОР: Торговая Сеть 7 SE», для работы с товаром по штрихкодам </v>
      </c>
      <c r="F489" s="5">
        <f ca="1">IFERROR(__xludf.DUMMYFUNCTION("""COMPUTED_VALUE"""),1725)</f>
        <v>1725</v>
      </c>
    </row>
    <row r="490" spans="1:6" ht="44.25" customHeight="1" x14ac:dyDescent="0.2">
      <c r="A490" s="4" t="str">
        <f ca="1">IFERROR(__xludf.DUMMYFUNCTION("""COMPUTED_VALUE"""),"«АСТОР: Торговая Сеть 7 SE»")</f>
        <v>«АСТОР: Торговая Сеть 7 SE»</v>
      </c>
      <c r="B490" s="4" t="str">
        <f ca="1">IFERROR(__xludf.DUMMYFUNCTION("""COMPUTED_VALUE"""),"БАЗОВЫЙ")</f>
        <v>БАЗОВЫЙ</v>
      </c>
      <c r="C490" s="4" t="str">
        <f ca="1">IFERROR(__xludf.DUMMYFUNCTION("""COMPUTED_VALUE"""),"UP2-RTL15A-ASTORRNSE7")</f>
        <v>UP2-RTL15A-ASTORRNSE7</v>
      </c>
      <c r="D490" s="4" t="str">
        <f ca="1">IFERROR(__xludf.DUMMYFUNCTION("""COMPUTED_VALUE"""),"Переход на Mobile SMARTS: Магазин 15, БАЗОВЫЙ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т."&amp;"ч.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сущес"&amp;"твующих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0" s="4" t="str">
        <f ca="1">IFERROR(__xludf.DUMMYFUNCTION("""COMPUTED_VALUE"""),"Переход на Mobile SMARTS: Магазин 15, БАЗОВЫЙ для «АСТОР: Торговая Сеть 7 SE», для работы с товаром по штрихкодам ")</f>
        <v xml:space="preserve">Переход на Mobile SMARTS: Магазин 15, БАЗОВЫЙ для «АСТОР: Торговая Сеть 7 SE», для работы с товаром по штрихкодам </v>
      </c>
      <c r="F490" s="5">
        <f ca="1">IFERROR(__xludf.DUMMYFUNCTION("""COMPUTED_VALUE"""),4325)</f>
        <v>4325</v>
      </c>
    </row>
    <row r="491" spans="1:6" ht="44.25" customHeight="1" x14ac:dyDescent="0.2">
      <c r="A491" s="4" t="str">
        <f ca="1">IFERROR(__xludf.DUMMYFUNCTION("""COMPUTED_VALUE"""),"«АСТОР: Торговая Сеть 7 SE»")</f>
        <v>«АСТОР: Торговая Сеть 7 SE»</v>
      </c>
      <c r="B491" s="4" t="str">
        <f ca="1">IFERROR(__xludf.DUMMYFUNCTION("""COMPUTED_VALUE"""),"РАСШИРЕННЫЙ")</f>
        <v>РАСШИРЕННЫЙ</v>
      </c>
      <c r="C491" s="4" t="str">
        <f ca="1">IFERROR(__xludf.DUMMYFUNCTION("""COMPUTED_VALUE"""),"UP2-RTL15B-ASTORRNSE7")</f>
        <v>UP2-RTL15B-ASTORRNSE7</v>
      </c>
      <c r="D491" s="4" t="str">
        <f ca="1">IFERROR(__xludf.DUMMYFUNCTION("""COMPUTED_VALUE"""),"Переход на Mobile SMARTS: Магазин 15, РАСШИРЕННЫЙ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с"&amp;"уществующих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1" s="4" t="str">
        <f ca="1">IFERROR(__xludf.DUMMYFUNCTION("""COMPUTED_VALUE"""),"Переход на Mobile SMARTS: Магазин 15, РАСШИРЕННЫЙ для «АСТОР: Торговая Сеть 7 SE», для работы с товаром по штрихкодам ")</f>
        <v xml:space="preserve">Переход на Mobile SMARTS: Магазин 15, РАСШИРЕННЫЙ для «АСТОР: Торговая Сеть 7 SE», для работы с товаром по штрихкодам </v>
      </c>
      <c r="F491" s="5">
        <f ca="1">IFERROR(__xludf.DUMMYFUNCTION("""COMPUTED_VALUE"""),7525)</f>
        <v>7525</v>
      </c>
    </row>
    <row r="492" spans="1:6" ht="44.25" customHeight="1" x14ac:dyDescent="0.2">
      <c r="A492" s="4" t="str">
        <f ca="1">IFERROR(__xludf.DUMMYFUNCTION("""COMPUTED_VALUE"""),"«АСТОР: Торговая Сеть 7 SE»")</f>
        <v>«АСТОР: Торговая Сеть 7 SE»</v>
      </c>
      <c r="B492" s="4" t="str">
        <f ca="1">IFERROR(__xludf.DUMMYFUNCTION("""COMPUTED_VALUE"""),"МЕГАМАРКЕТ")</f>
        <v>МЕГАМАРКЕТ</v>
      </c>
      <c r="C492" s="4" t="str">
        <f ca="1">IFERROR(__xludf.DUMMYFUNCTION("""COMPUTED_VALUE"""),"UP2-RTL15C-ASTORRNSE7")</f>
        <v>UP2-RTL15C-ASTORRNSE7</v>
      </c>
      <c r="D492" s="4" t="str">
        <f ca="1">IFERROR(__xludf.DUMMYFUNCTION("""COMPUTED_VALUE"""),"Переход на Mobile SMARTS: Магазин 15, МЕГАМАРКЕТ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(в"&amp;"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"&amp;"экране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2" s="4" t="str">
        <f ca="1">IFERROR(__xludf.DUMMYFUNCTION("""COMPUTED_VALUE"""),"Переход на Mobile SMARTS: Магазин 15, МЕГАМАРКЕТ для «АСТОР: Торговая Сеть 7 SE», для работы с товаром по штрихкодам ")</f>
        <v xml:space="preserve">Переход на Mobile SMARTS: Магазин 15, МЕГАМАРКЕТ для «АСТОР: Торговая Сеть 7 SE», для работы с товаром по штрихкодам </v>
      </c>
      <c r="F492" s="5">
        <f ca="1">IFERROR(__xludf.DUMMYFUNCTION("""COMPUTED_VALUE"""),10775)</f>
        <v>10775</v>
      </c>
    </row>
    <row r="493" spans="1:6" ht="44.25" customHeight="1" x14ac:dyDescent="0.2">
      <c r="A493" s="4" t="str">
        <f ca="1">IFERROR(__xludf.DUMMYFUNCTION("""COMPUTED_VALUE"""),"«АСТОР: Торговая Сеть 7 SE»")</f>
        <v>«АСТОР: Торговая Сеть 7 SE»</v>
      </c>
      <c r="B493" s="4" t="str">
        <f ca="1">IFERROR(__xludf.DUMMYFUNCTION("""COMPUTED_VALUE"""),"с ЕГАИС, БАЗОВЫЙ")</f>
        <v>с ЕГАИС, БАЗОВЫЙ</v>
      </c>
      <c r="C493" s="4" t="str">
        <f ca="1">IFERROR(__xludf.DUMMYFUNCTION("""COMPUTED_VALUE"""),"UP2-RTL15AE-ASTORRNSE7")</f>
        <v>UP2-RTL15AE-ASTORRNSE7</v>
      </c>
      <c r="D493" s="4" t="str">
        <f ca="1">IFERROR(__xludf.DUMMYFUNCTION("""COMPUTED_VALUE"""),"Переход на Mobile SMARTS: Магазин 15 с ЕГАИС, БАЗОВЫЙ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операции"&amp;":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инф"&amp;"ормация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93" s="4" t="str">
        <f ca="1">IFERROR(__xludf.DUMMYFUNCTION("""COMPUTED_VALUE"""),"Переход на Mobile SMARTS: Магазин 15 с ЕГАИС, БАЗОВЫЙ для «АСТОР: Торговая Сеть 7 SE», для работы с маркированным товаром: алкоголь ЕГАИС и товары по штрихкодам ")</f>
        <v xml:space="preserve">Переход на Mobile SMARTS: Магазин 15 с ЕГАИС, БАЗОВЫЙ для «АСТОР: Торговая Сеть 7 SE», для работы с маркированным товаром: алкоголь ЕГАИС и товары по штрихкодам </v>
      </c>
      <c r="F493" s="5">
        <f ca="1">IFERROR(__xludf.DUMMYFUNCTION("""COMPUTED_VALUE"""),5500)</f>
        <v>5500</v>
      </c>
    </row>
    <row r="494" spans="1:6" ht="44.25" customHeight="1" x14ac:dyDescent="0.2">
      <c r="A494" s="4" t="str">
        <f ca="1">IFERROR(__xludf.DUMMYFUNCTION("""COMPUTED_VALUE"""),"«АСТОР: Торговая Сеть 7 SE»")</f>
        <v>«АСТОР: Торговая Сеть 7 SE»</v>
      </c>
      <c r="B494" s="4" t="str">
        <f ca="1">IFERROR(__xludf.DUMMYFUNCTION("""COMPUTED_VALUE"""),"с ЕГАИС, РАСШИРЕННЫЙ")</f>
        <v>с ЕГАИС, РАСШИРЕННЫЙ</v>
      </c>
      <c r="C494" s="4" t="str">
        <f ca="1">IFERROR(__xludf.DUMMYFUNCTION("""COMPUTED_VALUE"""),"UP2-RTL15BE-ASTORRNSE7")</f>
        <v>UP2-RTL15BE-ASTORRNSE7</v>
      </c>
      <c r="D494" s="4" t="str">
        <f ca="1">IFERROR(__xludf.DUMMYFUNCTION("""COMPUTED_VALUE"""),"Переход на Mobile SMARTS: Магазин 15 с ЕГАИС, РАСШИРЕННЫЙ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опер"&amp;"ации: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 с ЕГАИС, РАСШИРЕННЫЙ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4" s="4" t="str">
        <f ca="1">IFERROR(__xludf.DUMMYFUNCTION("""COMPUTED_VALUE"""),"Переход на Mobile SMARTS: Магазин 15 с ЕГАИС, РАСШИРЕННЫЙ для «АСТОР: Торговая Сеть 7 SE», для работы с маркированным товаром: алкоголь ЕГАИС и товары по штрихкодам ")</f>
        <v xml:space="preserve">Переход на Mobile SMARTS: Магазин 15 с ЕГАИС, РАСШИРЕННЫЙ для «АСТОР: Торговая Сеть 7 SE», для работы с маркированным товаром: алкоголь ЕГАИС и товары по штрихкодам </v>
      </c>
      <c r="F494" s="5">
        <f ca="1">IFERROR(__xludf.DUMMYFUNCTION("""COMPUTED_VALUE"""),8725)</f>
        <v>8725</v>
      </c>
    </row>
    <row r="495" spans="1:6" ht="44.25" customHeight="1" x14ac:dyDescent="0.2">
      <c r="A495" s="4" t="str">
        <f ca="1">IFERROR(__xludf.DUMMYFUNCTION("""COMPUTED_VALUE"""),"«АСТОР: Торговая Сеть 7 SE»")</f>
        <v>«АСТОР: Торговая Сеть 7 SE»</v>
      </c>
      <c r="B495" s="4" t="str">
        <f ca="1">IFERROR(__xludf.DUMMYFUNCTION("""COMPUTED_VALUE"""),"с ЕГАИС (без CheckMark2), МЕГАМАРКЕТ")</f>
        <v>с ЕГАИС (без CheckMark2), МЕГАМАРКЕТ</v>
      </c>
      <c r="C495" s="4" t="str">
        <f ca="1">IFERROR(__xludf.DUMMYFUNCTION("""COMPUTED_VALUE"""),"UP2-RTL15CEV-ASTORRNSE7")</f>
        <v>UP2-RTL15CEV-ASTORRNSE7</v>
      </c>
      <c r="D495" s="4" t="str">
        <f ca="1">IFERROR(__xludf.DUMMYFUNCTION("""COMPUTED_VALUE"""),"Переход на 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"&amp;"/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коллективная"&amp;"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и"&amp;" обмен через Интернет на 1 (один) год")</f>
        <v>Переход на 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5" s="4" t="str">
        <f ca="1">IFERROR(__xludf.DUMMYFUNCTION("""COMPUTED_VALUE"""),"Переход на 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</v>
      </c>
      <c r="F495" s="5">
        <f ca="1">IFERROR(__xludf.DUMMYFUNCTION("""COMPUTED_VALUE"""),11925)</f>
        <v>11925</v>
      </c>
    </row>
    <row r="496" spans="1:6" ht="44.25" customHeight="1" x14ac:dyDescent="0.2">
      <c r="A496" s="4" t="str">
        <f ca="1">IFERROR(__xludf.DUMMYFUNCTION("""COMPUTED_VALUE"""),"«АСТОР: Торговая Сеть 7 SE»")</f>
        <v>«АСТОР: Торговая Сеть 7 SE»</v>
      </c>
      <c r="B496" s="4" t="str">
        <f ca="1">IFERROR(__xludf.DUMMYFUNCTION("""COMPUTED_VALUE"""),"с МОТП, БАЗОВЫЙ")</f>
        <v>с МОТП, БАЗОВЫЙ</v>
      </c>
      <c r="C496" s="4" t="str">
        <f ca="1">IFERROR(__xludf.DUMMYFUNCTION("""COMPUTED_VALUE"""),"UP2-RTL15AT-ASTORRNSE7")</f>
        <v>UP2-RTL15AT-ASTORRNSE7</v>
      </c>
      <c r="D496" s="4" t="str">
        <f ca="1">IFERROR(__xludf.DUMMYFUNCTION("""COMPUTED_VALUE"""),"Переход на Mobile SMARTS: Магазин 15 с МОТП, БАЗОВЫЙ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поступле"&amp;"ние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информа"&amp;"ция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6" s="4" t="str">
        <f ca="1">IFERROR(__xludf.DUMMYFUNCTION("""COMPUTED_VALUE"""),"Переход на Mobile SMARTS: Магазин 15 с МОТП, БАЗОВЫЙ для «АСТОР: Торговая Сеть 7 SE», для работы с маркированным товаром: ТАБАК и товары по штрихкодам ")</f>
        <v xml:space="preserve">Переход на Mobile SMARTS: Магазин 15 с МОТП, БАЗОВЫЙ для «АСТОР: Торговая Сеть 7 SE», для работы с маркированным товаром: ТАБАК и товары по штрихкодам </v>
      </c>
      <c r="F496" s="5">
        <f ca="1">IFERROR(__xludf.DUMMYFUNCTION("""COMPUTED_VALUE"""),5575)</f>
        <v>5575</v>
      </c>
    </row>
    <row r="497" spans="1:6" ht="44.25" customHeight="1" x14ac:dyDescent="0.2">
      <c r="A497" s="4" t="str">
        <f ca="1">IFERROR(__xludf.DUMMYFUNCTION("""COMPUTED_VALUE"""),"«АСТОР: Торговая Сеть 7 SE»")</f>
        <v>«АСТОР: Торговая Сеть 7 SE»</v>
      </c>
      <c r="B497" s="4" t="str">
        <f ca="1">IFERROR(__xludf.DUMMYFUNCTION("""COMPUTED_VALUE"""),"с МОТП, РАСШИРЕННЫЙ")</f>
        <v>с МОТП, РАСШИРЕННЫЙ</v>
      </c>
      <c r="C497" s="4" t="str">
        <f ca="1">IFERROR(__xludf.DUMMYFUNCTION("""COMPUTED_VALUE"""),"UP2-RTL15BT-ASTORRNSE7")</f>
        <v>UP2-RTL15BT-ASTORRNSE7</v>
      </c>
      <c r="D497" s="4" t="str">
        <f ca="1">IFERROR(__xludf.DUMMYFUNCTION("""COMPUTED_VALUE"""),"Переход на Mobile SMARTS: Магазин 15 с МОТП, РАСШИРЕННЫЙ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пост"&amp;"упление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РАСШИРЕННЫЙ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7" s="4" t="str">
        <f ca="1">IFERROR(__xludf.DUMMYFUNCTION("""COMPUTED_VALUE"""),"Переход на Mobile SMARTS: Магазин 15 с МОТП, РАСШИРЕННЫЙ для «АСТОР: Торговая Сеть 7 SE», для работы с маркированным товаром: ТАБАК и товары по штрихкодам ")</f>
        <v xml:space="preserve">Переход на Mobile SMARTS: Магазин 15 с МОТП, РАСШИРЕННЫЙ для «АСТОР: Торговая Сеть 7 SE», для работы с маркированным товаром: ТАБАК и товары по штрихкодам </v>
      </c>
      <c r="F497" s="5">
        <f ca="1">IFERROR(__xludf.DUMMYFUNCTION("""COMPUTED_VALUE"""),8725)</f>
        <v>8725</v>
      </c>
    </row>
    <row r="498" spans="1:6" ht="44.25" customHeight="1" x14ac:dyDescent="0.2">
      <c r="A498" s="4" t="str">
        <f ca="1">IFERROR(__xludf.DUMMYFUNCTION("""COMPUTED_VALUE"""),"«АСТОР: Торговая Сеть 7 SE»")</f>
        <v>«АСТОР: Торговая Сеть 7 SE»</v>
      </c>
      <c r="B498" s="4" t="str">
        <f ca="1">IFERROR(__xludf.DUMMYFUNCTION("""COMPUTED_VALUE"""),"с МОТП, МЕГАМАРКЕТ")</f>
        <v>с МОТП, МЕГАМАРКЕТ</v>
      </c>
      <c r="C498" s="4" t="str">
        <f ca="1">IFERROR(__xludf.DUMMYFUNCTION("""COMPUTED_VALUE"""),"UP2-RTL15CT-ASTORRNSE7")</f>
        <v>UP2-RTL15CT-ASTORRNSE7</v>
      </c>
      <c r="D498" s="4" t="str">
        <f ca="1">IFERROR(__xludf.DUMMYFUNCTION("""COMPUTED_VALUE"""),"Переход на Mobile SMARTS: Магазин 15 с МОТП, МЕГАМАРКЕТ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посту"&amp;"пление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колл"&amp;"ективная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Интерне"&amp;"т на 1 (один) год")</f>
        <v>Переход на Mobile SMARTS: Магазин 15 с МОТП, МЕГАМАРКЕТ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8" s="4" t="str">
        <f ca="1">IFERROR(__xludf.DUMMYFUNCTION("""COMPUTED_VALUE"""),"Переход на Mobile SMARTS: Магазин 15 с МОТП, МЕГАМАРКЕТ для «АСТОР: Торговая Сеть 7 SE», для работы с маркированным товаром: ТАБАК и товары по штрихкодам ")</f>
        <v xml:space="preserve">Переход на Mobile SMARTS: Магазин 15 с МОТП, МЕГАМАРКЕТ для «АСТОР: Торговая Сеть 7 SE», для работы с маркированным товаром: ТАБАК и товары по штрихкодам </v>
      </c>
      <c r="F498" s="5">
        <f ca="1">IFERROR(__xludf.DUMMYFUNCTION("""COMPUTED_VALUE"""),11925)</f>
        <v>11925</v>
      </c>
    </row>
    <row r="499" spans="1:6" ht="44.25" customHeight="1" x14ac:dyDescent="0.2">
      <c r="A499" s="4" t="str">
        <f ca="1">IFERROR(__xludf.DUMMYFUNCTION("""COMPUTED_VALUE"""),"«АСТОР: Торговая Сеть 7 SE»")</f>
        <v>«АСТОР: Торговая Сеть 7 SE»</v>
      </c>
      <c r="B499" s="4" t="str">
        <f ca="1">IFERROR(__xludf.DUMMYFUNCTION("""COMPUTED_VALUE"""),"с ЕГАИС и МОТП, БАЗОВЫЙ")</f>
        <v>с ЕГАИС и МОТП, БАЗОВЫЙ</v>
      </c>
      <c r="C499" s="4" t="str">
        <f ca="1">IFERROR(__xludf.DUMMYFUNCTION("""COMPUTED_VALUE"""),"UP2-RTL15AET-ASTORRNSE7")</f>
        <v>UP2-RTL15AET-ASTORRNSE7</v>
      </c>
      <c r="D499" s="4" t="str">
        <f ca="1">IFERROR(__xludf.DUMMYFUNCTION("""COMPUTED_VALUE"""),"Переход на Mobile SMARTS: Магазин 15 с ЕГАИС и МОТП, БАЗОВЫЙ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"&amp;"операции: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операци"&amp;"й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9" s="4" t="str">
        <f ca="1">IFERROR(__xludf.DUMMYFUNCTION("""COMPUTED_VALUE"""),"Переход на Mobile SMARTS: Магазин 15 с ЕГАИС и МОТП, БАЗОВЫЙ для «АСТОР: Торговая Сеть 7 SE»,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«АСТОР: Торговая Сеть 7 SE», для работы с маркированным товаром: АЛКОГОЛЬ, ТАБАК и товары по штрихкодам </v>
      </c>
      <c r="F499" s="5">
        <f ca="1">IFERROR(__xludf.DUMMYFUNCTION("""COMPUTED_VALUE"""),6075)</f>
        <v>6075</v>
      </c>
    </row>
    <row r="500" spans="1:6" ht="44.25" customHeight="1" x14ac:dyDescent="0.2">
      <c r="A500" s="4" t="str">
        <f ca="1">IFERROR(__xludf.DUMMYFUNCTION("""COMPUTED_VALUE"""),"«АСТОР: Торговая Сеть 7 SE»")</f>
        <v>«АСТОР: Торговая Сеть 7 SE»</v>
      </c>
      <c r="B500" s="4" t="str">
        <f ca="1">IFERROR(__xludf.DUMMYFUNCTION("""COMPUTED_VALUE"""),"с ЕГАИС и МОТП, РАСШИРЕННЫЙ")</f>
        <v>с ЕГАИС и МОТП, РАСШИРЕННЫЙ</v>
      </c>
      <c r="C500" s="4" t="str">
        <f ca="1">IFERROR(__xludf.DUMMYFUNCTION("""COMPUTED_VALUE"""),"UP2-RTL15BET-ASTORRNSE7")</f>
        <v>UP2-RTL15BET-ASTORRNSE7</v>
      </c>
      <c r="D500" s="4" t="str">
        <f ca="1">IFERROR(__xludf.DUMMYFUNCTION("""COMPUTED_VALUE"""),"Переход на Mobile SMARTS: Магазин 15 с ЕГАИС и МОТП, РАСШИРЕННЫЙ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доступ"&amp;"ные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перемещение,"&amp;"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опе"&amp;"раций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0" s="4" t="str">
        <f ca="1">IFERROR(__xludf.DUMMYFUNCTION("""COMPUTED_VALUE"""),"Переход на Mobile SMARTS: Магазин 15 с ЕГАИС и МОТП, РАСШИРЕННЫЙ для «АСТОР: Торговая Сеть 7 SE»,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«АСТОР: Торговая Сеть 7 SE», для работы с маркированным товаром: АЛКОГОЛЬ, ТАБАК и товары по штрихкодам </v>
      </c>
      <c r="F500" s="5">
        <f ca="1">IFERROR(__xludf.DUMMYFUNCTION("""COMPUTED_VALUE"""),9275)</f>
        <v>9275</v>
      </c>
    </row>
    <row r="501" spans="1:6" ht="44.25" customHeight="1" x14ac:dyDescent="0.2">
      <c r="A501" s="4" t="str">
        <f ca="1">IFERROR(__xludf.DUMMYFUNCTION("""COMPUTED_VALUE"""),"«АСТОР: Торговая Сеть 7 SE»")</f>
        <v>«АСТОР: Торговая Сеть 7 SE»</v>
      </c>
      <c r="B501" s="4" t="str">
        <f ca="1">IFERROR(__xludf.DUMMYFUNCTION("""COMPUTED_VALUE"""),"с ЕГАИС и МОТП, МЕГАМАРКЕТ")</f>
        <v>с ЕГАИС и МОТП, МЕГАМАРКЕТ</v>
      </c>
      <c r="C501" s="4" t="str">
        <f ca="1">IFERROR(__xludf.DUMMYFUNCTION("""COMPUTED_VALUE"""),"UP2-RTL15CET-ASTORRNSE7")</f>
        <v>UP2-RTL15CET-ASTORRNSE7</v>
      </c>
      <c r="D501" s="4" t="str">
        <f ca="1">IFERROR(__xludf.DUMMYFUNCTION("""COMPUTED_VALUE"""),"Переход на Mobile SMARTS: Магазин 15 с ЕГАИС и МОТП, МЕГАМАРКЕТ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доступн"&amp;"ые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"&amp;"сбор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измене"&amp;"ние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1" s="4" t="str">
        <f ca="1">IFERROR(__xludf.DUMMYFUNCTION("""COMPUTED_VALUE"""),"Переход на Mobile SMARTS: Магазин 15 с ЕГАИС и МОТП, МЕГАМАРКЕТ для «АСТОР: Торговая Сеть 7 SE»,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«АСТОР: Торговая Сеть 7 SE», для работы с маркированным товаром: АЛКОГОЛЬ, ТАБАК и товары по штрихкодам </v>
      </c>
      <c r="F501" s="5">
        <f ca="1">IFERROR(__xludf.DUMMYFUNCTION("""COMPUTED_VALUE"""),13175)</f>
        <v>13175</v>
      </c>
    </row>
    <row r="502" spans="1:6" ht="44.25" customHeight="1" x14ac:dyDescent="0.2">
      <c r="A502" s="4" t="str">
        <f ca="1">IFERROR(__xludf.DUMMYFUNCTION("""COMPUTED_VALUE"""),"«АСТОР: Торговый дом 7 SP»")</f>
        <v>«АСТОР: Торговый дом 7 SP»</v>
      </c>
      <c r="B502" s="4" t="str">
        <f ca="1">IFERROR(__xludf.DUMMYFUNCTION("""COMPUTED_VALUE"""),"МИНИМУМ")</f>
        <v>МИНИМУМ</v>
      </c>
      <c r="C502" s="4" t="str">
        <f ca="1">IFERROR(__xludf.DUMMYFUNCTION("""COMPUTED_VALUE"""),"UP2-RTL15M-ASTORTH7SP")</f>
        <v>UP2-RTL15M-ASTORTH7SP</v>
      </c>
      <c r="D502" s="4" t="str">
        <f ca="1">IFERROR(__xludf.DUMMYFUNCTION("""COMPUTED_VALUE"""),"Переход на Mobile SMARTS: Магазин 15, МИНИМУМ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това"&amp;"ров,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("&amp;"один) год")</f>
        <v>Переход на Mobile SMARTS: Магазин 15, МИНИМУМ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02" s="4" t="str">
        <f ca="1">IFERROR(__xludf.DUMMYFUNCTION("""COMPUTED_VALUE"""),"Переход на Mobile SMARTS: Магазин 15, МИНИМУМ для «АСТОР: Торговый дом 7 SP», для работы с товаром по штрихкодам ")</f>
        <v xml:space="preserve">Переход на Mobile SMARTS: Магазин 15, МИНИМУМ для «АСТОР: Торговый дом 7 SP», для работы с товаром по штрихкодам </v>
      </c>
      <c r="F502" s="5">
        <f ca="1">IFERROR(__xludf.DUMMYFUNCTION("""COMPUTED_VALUE"""),1725)</f>
        <v>1725</v>
      </c>
    </row>
    <row r="503" spans="1:6" ht="44.25" customHeight="1" x14ac:dyDescent="0.2">
      <c r="A503" s="4" t="str">
        <f ca="1">IFERROR(__xludf.DUMMYFUNCTION("""COMPUTED_VALUE"""),"«АСТОР: Торговый дом 7 SP»")</f>
        <v>«АСТОР: Торговый дом 7 SP»</v>
      </c>
      <c r="B503" s="4" t="str">
        <f ca="1">IFERROR(__xludf.DUMMYFUNCTION("""COMPUTED_VALUE"""),"БАЗОВЫЙ")</f>
        <v>БАЗОВЫЙ</v>
      </c>
      <c r="C503" s="4" t="str">
        <f ca="1">IFERROR(__xludf.DUMMYFUNCTION("""COMPUTED_VALUE"""),"UP2-RTL15A-ASTORTH7SP")</f>
        <v>UP2-RTL15A-ASTORTH7SP</v>
      </c>
      <c r="D503" s="4" t="str">
        <f ca="1">IFERROR(__xludf.DUMMYFUNCTION("""COMPUTED_VALUE"""),"Переход на Mobile SMARTS: Магазин 15, БАЗОВЫЙ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т.ч"&amp;".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3" s="4" t="str">
        <f ca="1">IFERROR(__xludf.DUMMYFUNCTION("""COMPUTED_VALUE"""),"Переход на Mobile SMARTS: Магазин 15, БАЗОВЫЙ для «АСТОР: Торговый дом 7 SP», для работы с товаром по штрихкодам ")</f>
        <v xml:space="preserve">Переход на Mobile SMARTS: Магазин 15, БАЗОВЫЙ для «АСТОР: Торговый дом 7 SP», для работы с товаром по штрихкодам </v>
      </c>
      <c r="F503" s="5">
        <f ca="1">IFERROR(__xludf.DUMMYFUNCTION("""COMPUTED_VALUE"""),4325)</f>
        <v>4325</v>
      </c>
    </row>
    <row r="504" spans="1:6" ht="44.25" customHeight="1" x14ac:dyDescent="0.2">
      <c r="A504" s="4" t="str">
        <f ca="1">IFERROR(__xludf.DUMMYFUNCTION("""COMPUTED_VALUE"""),"«АСТОР: Торговый дом 7 SP»")</f>
        <v>«АСТОР: Торговый дом 7 SP»</v>
      </c>
      <c r="B504" s="4" t="str">
        <f ca="1">IFERROR(__xludf.DUMMYFUNCTION("""COMPUTED_VALUE"""),"РАСШИРЕННЫЙ")</f>
        <v>РАСШИРЕННЫЙ</v>
      </c>
      <c r="C504" s="4" t="str">
        <f ca="1">IFERROR(__xludf.DUMMYFUNCTION("""COMPUTED_VALUE"""),"UP2-RTL15B-ASTORTH7SP")</f>
        <v>UP2-RTL15B-ASTORTH7SP</v>
      </c>
      <c r="D504" s="4" t="str">
        <f ca="1">IFERROR(__xludf.DUMMYFUNCTION("""COMPUTED_VALUE"""),"Переход на Mobile SMARTS: Магазин 15, РАСШИРЕННЫЙ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(в"&amp;"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су"&amp;"ществующих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4" s="4" t="str">
        <f ca="1">IFERROR(__xludf.DUMMYFUNCTION("""COMPUTED_VALUE"""),"Переход на Mobile SMARTS: Магазин 15, РАСШИРЕННЫЙ для «АСТОР: Торговый дом 7 SP», для работы с товаром по штрихкодам ")</f>
        <v xml:space="preserve">Переход на Mobile SMARTS: Магазин 15, РАСШИРЕННЫЙ для «АСТОР: Торговый дом 7 SP», для работы с товаром по штрихкодам </v>
      </c>
      <c r="F504" s="5">
        <f ca="1">IFERROR(__xludf.DUMMYFUNCTION("""COMPUTED_VALUE"""),7525)</f>
        <v>7525</v>
      </c>
    </row>
    <row r="505" spans="1:6" ht="44.25" customHeight="1" x14ac:dyDescent="0.2">
      <c r="A505" s="4" t="str">
        <f ca="1">IFERROR(__xludf.DUMMYFUNCTION("""COMPUTED_VALUE"""),"«АСТОР: Торговый дом 7 SP»")</f>
        <v>«АСТОР: Торговый дом 7 SP»</v>
      </c>
      <c r="B505" s="4" t="str">
        <f ca="1">IFERROR(__xludf.DUMMYFUNCTION("""COMPUTED_VALUE"""),"МЕГАМАРКЕТ")</f>
        <v>МЕГАМАРКЕТ</v>
      </c>
      <c r="C505" s="4" t="str">
        <f ca="1">IFERROR(__xludf.DUMMYFUNCTION("""COMPUTED_VALUE"""),"UP2-RTL15C-ASTORTH7SP")</f>
        <v>UP2-RTL15C-ASTORTH7SP</v>
      </c>
      <c r="D505" s="4" t="str">
        <f ca="1">IFERROR(__xludf.DUMMYFUNCTION("""COMPUTED_VALUE"""),"Переход на Mobile SMARTS: Магазин 15, МЕГАМАРКЕТ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"&amp;"т.ч.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5" s="4" t="str">
        <f ca="1">IFERROR(__xludf.DUMMYFUNCTION("""COMPUTED_VALUE"""),"Переход на Mobile SMARTS: Магазин 15, МЕГАМАРКЕТ для «АСТОР: Торговый дом 7 SP», для работы с товаром по штрихкодам ")</f>
        <v xml:space="preserve">Переход на Mobile SMARTS: Магазин 15, МЕГАМАРКЕТ для «АСТОР: Торговый дом 7 SP», для работы с товаром по штрихкодам </v>
      </c>
      <c r="F505" s="5">
        <f ca="1">IFERROR(__xludf.DUMMYFUNCTION("""COMPUTED_VALUE"""),10775)</f>
        <v>10775</v>
      </c>
    </row>
    <row r="506" spans="1:6" ht="44.25" customHeight="1" x14ac:dyDescent="0.2">
      <c r="A506" s="4" t="str">
        <f ca="1">IFERROR(__xludf.DUMMYFUNCTION("""COMPUTED_VALUE"""),"«АСТОР: Торговый дом 7 SP»")</f>
        <v>«АСТОР: Торговый дом 7 SP»</v>
      </c>
      <c r="B506" s="4" t="str">
        <f ca="1">IFERROR(__xludf.DUMMYFUNCTION("""COMPUTED_VALUE"""),"с ЕГАИС, БАЗОВЫЙ")</f>
        <v>с ЕГАИС, БАЗОВЫЙ</v>
      </c>
      <c r="C506" s="4" t="str">
        <f ca="1">IFERROR(__xludf.DUMMYFUNCTION("""COMPUTED_VALUE"""),"UP2-RTL15AE-ASTORTH7SP")</f>
        <v>UP2-RTL15AE-ASTORTH7SP</v>
      </c>
      <c r="D506" s="4" t="str">
        <f ca="1">IFERROR(__xludf.DUMMYFUNCTION("""COMPUTED_VALUE"""),"Переход на Mobile SMARTS: Магазин 15 с ЕГАИС, БАЗОВЫЙ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операции:"&amp;"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инфо"&amp;"рмация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06" s="4" t="str">
        <f ca="1">IFERROR(__xludf.DUMMYFUNCTION("""COMPUTED_VALUE"""),"Переход на Mobile SMARTS: Магазин 15 с ЕГАИС, БАЗОВЫЙ для «АСТОР: Торговый дом 7 SP», для работы с маркированным товаром: алкоголь ЕГАИС и товары по штрихкодам ")</f>
        <v xml:space="preserve">Переход на Mobile SMARTS: Магазин 15 с ЕГАИС, БАЗОВЫЙ для «АСТОР: Торговый дом 7 SP», для работы с маркированным товаром: алкоголь ЕГАИС и товары по штрихкодам </v>
      </c>
      <c r="F506" s="5">
        <f ca="1">IFERROR(__xludf.DUMMYFUNCTION("""COMPUTED_VALUE"""),5500)</f>
        <v>5500</v>
      </c>
    </row>
    <row r="507" spans="1:6" ht="44.25" customHeight="1" x14ac:dyDescent="0.2">
      <c r="A507" s="4" t="str">
        <f ca="1">IFERROR(__xludf.DUMMYFUNCTION("""COMPUTED_VALUE"""),"«АСТОР: Торговый дом 7 SP»")</f>
        <v>«АСТОР: Торговый дом 7 SP»</v>
      </c>
      <c r="B507" s="4" t="str">
        <f ca="1">IFERROR(__xludf.DUMMYFUNCTION("""COMPUTED_VALUE"""),"с ЕГАИС, РАСШИРЕННЫЙ")</f>
        <v>с ЕГАИС, РАСШИРЕННЫЙ</v>
      </c>
      <c r="C507" s="4" t="str">
        <f ca="1">IFERROR(__xludf.DUMMYFUNCTION("""COMPUTED_VALUE"""),"UP2-RTL15BE-ASTORTH7SP")</f>
        <v>UP2-RTL15BE-ASTORTH7SP</v>
      </c>
      <c r="D507" s="4" t="str">
        <f ca="1">IFERROR(__xludf.DUMMYFUNCTION("""COMPUTED_VALUE"""),"Переход на Mobile SMARTS: Магазин 15 с ЕГАИС, РАСШИРЕННЫЙ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опера"&amp;"ции: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"&amp;"информация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РАСШИРЕННЫЙ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7" s="4" t="str">
        <f ca="1">IFERROR(__xludf.DUMMYFUNCTION("""COMPUTED_VALUE"""),"Переход на Mobile SMARTS: Магазин 15 с ЕГАИС, РАСШИРЕННЫЙ для «АСТОР: Торговый дом 7 SP», для работы с маркированным товаром: алкоголь ЕГАИС и товары по штрихкодам ")</f>
        <v xml:space="preserve">Переход на Mobile SMARTS: Магазин 15 с ЕГАИС, РАСШИРЕННЫЙ для «АСТОР: Торговый дом 7 SP», для работы с маркированным товаром: алкоголь ЕГАИС и товары по штрихкодам </v>
      </c>
      <c r="F507" s="5">
        <f ca="1">IFERROR(__xludf.DUMMYFUNCTION("""COMPUTED_VALUE"""),8725)</f>
        <v>8725</v>
      </c>
    </row>
    <row r="508" spans="1:6" ht="44.25" customHeight="1" x14ac:dyDescent="0.2">
      <c r="A508" s="4" t="str">
        <f ca="1">IFERROR(__xludf.DUMMYFUNCTION("""COMPUTED_VALUE"""),"«АСТОР: Торговый дом 7 SP»")</f>
        <v>«АСТОР: Торговый дом 7 SP»</v>
      </c>
      <c r="B508" s="4" t="str">
        <f ca="1">IFERROR(__xludf.DUMMYFUNCTION("""COMPUTED_VALUE"""),"с ЕГАИС (без CheckMark2), МЕГАМАРКЕТ")</f>
        <v>с ЕГАИС (без CheckMark2), МЕГАМАРКЕТ</v>
      </c>
      <c r="C508" s="4" t="str">
        <f ca="1">IFERROR(__xludf.DUMMYFUNCTION("""COMPUTED_VALUE"""),"UP2-RTL15CEV-ASTORTH7SP")</f>
        <v>UP2-RTL15CEV-ASTORTH7SP</v>
      </c>
      <c r="D508" s="4" t="str">
        <f ca="1">IFERROR(__xludf.DUMMYFUNCTION("""COMPUTED_VALUE"""),"Переход на Mobile SMARTS: Магазин 15 с ЕГАИС (без CheckMark2), МЕГАМАРКЕТ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/"&amp;"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"&amp;"работа,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Переход на Mobile SMARTS: Магазин 15 с ЕГАИС (без CheckMark2), МЕГАМАРКЕТ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8" s="4" t="str">
        <f ca="1">IFERROR(__xludf.DUMMYFUNCTION("""COMPUTED_VALUE"""),"Переход на Mobile SMARTS: Магазин 15 с ЕГАИС (без CheckMark2), МЕГАМАРКЕТ для «АСТОР: Торговый дом 7 SP», для работы с маркированным товаром: алкоголь ЕГАИС и товары по штрихкодам ")</f>
        <v xml:space="preserve">Переход на Mobile SMARTS: Магазин 15 с ЕГАИС (без CheckMark2), МЕГАМАРКЕТ для «АСТОР: Торговый дом 7 SP», для работы с маркированным товаром: алкоголь ЕГАИС и товары по штрихкодам </v>
      </c>
      <c r="F508" s="5">
        <f ca="1">IFERROR(__xludf.DUMMYFUNCTION("""COMPUTED_VALUE"""),11925)</f>
        <v>11925</v>
      </c>
    </row>
    <row r="509" spans="1:6" ht="44.25" customHeight="1" x14ac:dyDescent="0.2">
      <c r="A509" s="4" t="str">
        <f ca="1">IFERROR(__xludf.DUMMYFUNCTION("""COMPUTED_VALUE"""),"«АСТОР: Торговый дом 7 SP»")</f>
        <v>«АСТОР: Торговый дом 7 SP»</v>
      </c>
      <c r="B509" s="4" t="str">
        <f ca="1">IFERROR(__xludf.DUMMYFUNCTION("""COMPUTED_VALUE"""),"с МОТП, БАЗОВЫЙ")</f>
        <v>с МОТП, БАЗОВЫЙ</v>
      </c>
      <c r="C509" s="4" t="str">
        <f ca="1">IFERROR(__xludf.DUMMYFUNCTION("""COMPUTED_VALUE"""),"UP2-RTL15AT-ASTORTH7SP")</f>
        <v>UP2-RTL15AT-ASTORTH7SP</v>
      </c>
      <c r="D509" s="4" t="str">
        <f ca="1">IFERROR(__xludf.DUMMYFUNCTION("""COMPUTED_VALUE"""),"Переход на Mobile SMARTS: Магазин 15 с МОТП, БАЗОВЫЙ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поступлен"&amp;"ие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информац"&amp;"ия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БАЗОВЫЙ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9" s="4" t="str">
        <f ca="1">IFERROR(__xludf.DUMMYFUNCTION("""COMPUTED_VALUE"""),"Переход на Mobile SMARTS: Магазин 15 с МОТП, БАЗОВЫЙ для «АСТОР: Торговый дом 7 SP», для работы с маркированным товаром: ТАБАК и товары по штрихкодам ")</f>
        <v xml:space="preserve">Переход на Mobile SMARTS: Магазин 15 с МОТП, БАЗОВЫЙ для «АСТОР: Торговый дом 7 SP», для работы с маркированным товаром: ТАБАК и товары по штрихкодам </v>
      </c>
      <c r="F509" s="5">
        <f ca="1">IFERROR(__xludf.DUMMYFUNCTION("""COMPUTED_VALUE"""),5575)</f>
        <v>5575</v>
      </c>
    </row>
    <row r="510" spans="1:6" ht="44.25" customHeight="1" x14ac:dyDescent="0.2">
      <c r="A510" s="4" t="str">
        <f ca="1">IFERROR(__xludf.DUMMYFUNCTION("""COMPUTED_VALUE"""),"«АСТОР: Торговый дом 7 SP»")</f>
        <v>«АСТОР: Торговый дом 7 SP»</v>
      </c>
      <c r="B510" s="4" t="str">
        <f ca="1">IFERROR(__xludf.DUMMYFUNCTION("""COMPUTED_VALUE"""),"с МОТП, РАСШИРЕННЫЙ")</f>
        <v>с МОТП, РАСШИРЕННЫЙ</v>
      </c>
      <c r="C510" s="4" t="str">
        <f ca="1">IFERROR(__xludf.DUMMYFUNCTION("""COMPUTED_VALUE"""),"UP2-RTL15BT-ASTORTH7SP")</f>
        <v>UP2-RTL15BT-ASTORTH7SP</v>
      </c>
      <c r="D510" s="4" t="str">
        <f ca="1">IFERROR(__xludf.DUMMYFUNCTION("""COMPUTED_VALUE"""),"Переход на Mobile SMARTS: Магазин 15 с МОТП, РАСШИРЕННЫЙ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посту"&amp;"пление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инфо"&amp;"рмация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МОТП, РАСШИРЕННЫЙ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0" s="4" t="str">
        <f ca="1">IFERROR(__xludf.DUMMYFUNCTION("""COMPUTED_VALUE"""),"Переход на Mobile SMARTS: Магазин 15 с МОТП, РАСШИРЕННЫЙ для «АСТОР: Торговый дом 7 SP», для работы с маркированным товаром: ТАБАК и товары по штрихкодам ")</f>
        <v xml:space="preserve">Переход на Mobile SMARTS: Магазин 15 с МОТП, РАСШИРЕННЫЙ для «АСТОР: Торговый дом 7 SP», для работы с маркированным товаром: ТАБАК и товары по штрихкодам </v>
      </c>
      <c r="F510" s="5">
        <f ca="1">IFERROR(__xludf.DUMMYFUNCTION("""COMPUTED_VALUE"""),8725)</f>
        <v>8725</v>
      </c>
    </row>
    <row r="511" spans="1:6" ht="44.25" customHeight="1" x14ac:dyDescent="0.2">
      <c r="A511" s="4" t="str">
        <f ca="1">IFERROR(__xludf.DUMMYFUNCTION("""COMPUTED_VALUE"""),"«АСТОР: Торговый дом 7 SP»")</f>
        <v>«АСТОР: Торговый дом 7 SP»</v>
      </c>
      <c r="B511" s="4" t="str">
        <f ca="1">IFERROR(__xludf.DUMMYFUNCTION("""COMPUTED_VALUE"""),"с МОТП, МЕГАМАРКЕТ")</f>
        <v>с МОТП, МЕГАМАРКЕТ</v>
      </c>
      <c r="C511" s="4" t="str">
        <f ca="1">IFERROR(__xludf.DUMMYFUNCTION("""COMPUTED_VALUE"""),"UP2-RTL15CT-ASTORTH7SP")</f>
        <v>UP2-RTL15CT-ASTORTH7SP</v>
      </c>
      <c r="D511" s="4" t="str">
        <f ca="1">IFERROR(__xludf.DUMMYFUNCTION("""COMPUTED_VALUE"""),"Переход на Mobile SMARTS: Магазин 15 с МОТП, МЕГАМАРКЕТ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поступ"&amp;"ление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колле"&amp;"ктивная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Интернет"&amp;" на 1 (один) год")</f>
        <v>Переход на Mobile SMARTS: Магазин 15 с МОТП, МЕГАМАРКЕТ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1" s="4" t="str">
        <f ca="1">IFERROR(__xludf.DUMMYFUNCTION("""COMPUTED_VALUE"""),"Переход на Mobile SMARTS: Магазин 15 с МОТП, МЕГАМАРКЕТ для «АСТОР: Торговый дом 7 SP», для работы с маркированным товаром: ТАБАК и товары по штрихкодам ")</f>
        <v xml:space="preserve">Переход на Mobile SMARTS: Магазин 15 с МОТП, МЕГАМАРКЕТ для «АСТОР: Торговый дом 7 SP», для работы с маркированным товаром: ТАБАК и товары по штрихкодам </v>
      </c>
      <c r="F511" s="5">
        <f ca="1">IFERROR(__xludf.DUMMYFUNCTION("""COMPUTED_VALUE"""),11925)</f>
        <v>11925</v>
      </c>
    </row>
    <row r="512" spans="1:6" ht="44.25" customHeight="1" x14ac:dyDescent="0.2">
      <c r="A512" s="4" t="str">
        <f ca="1">IFERROR(__xludf.DUMMYFUNCTION("""COMPUTED_VALUE"""),"«АСТОР: Торговый дом 7 SP»")</f>
        <v>«АСТОР: Торговый дом 7 SP»</v>
      </c>
      <c r="B512" s="4" t="str">
        <f ca="1">IFERROR(__xludf.DUMMYFUNCTION("""COMPUTED_VALUE"""),"с ЕГАИС и МОТП, БАЗОВЫЙ")</f>
        <v>с ЕГАИС и МОТП, БАЗОВЫЙ</v>
      </c>
      <c r="C512" s="4" t="str">
        <f ca="1">IFERROR(__xludf.DUMMYFUNCTION("""COMPUTED_VALUE"""),"UP2-RTL15AET-ASTORTH7SP")</f>
        <v>UP2-RTL15AET-ASTORTH7SP</v>
      </c>
      <c r="D512" s="4" t="str">
        <f ca="1">IFERROR(__xludf.DUMMYFUNCTION("""COMPUTED_VALUE"""),"Переход на Mobile SMARTS: Магазин 15 с ЕГАИС и МОТП, БАЗОВЫЙ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о"&amp;"перации: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операций"&amp;"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2" s="4" t="str">
        <f ca="1">IFERROR(__xludf.DUMMYFUNCTION("""COMPUTED_VALUE"""),"Переход на Mobile SMARTS: Магазин 15 с ЕГАИС и МОТП, БАЗОВЫЙ для «АСТОР: Торговый дом 7 SP»,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«АСТОР: Торговый дом 7 SP», для работы с маркированным товаром: АЛКОГОЛЬ, ТАБАК и товары по штрихкодам </v>
      </c>
      <c r="F512" s="5">
        <f ca="1">IFERROR(__xludf.DUMMYFUNCTION("""COMPUTED_VALUE"""),6075)</f>
        <v>6075</v>
      </c>
    </row>
    <row r="513" spans="1:6" ht="44.25" customHeight="1" x14ac:dyDescent="0.2">
      <c r="A513" s="4" t="str">
        <f ca="1">IFERROR(__xludf.DUMMYFUNCTION("""COMPUTED_VALUE"""),"«АСТОР: Торговый дом 7 SP»")</f>
        <v>«АСТОР: Торговый дом 7 SP»</v>
      </c>
      <c r="B513" s="4" t="str">
        <f ca="1">IFERROR(__xludf.DUMMYFUNCTION("""COMPUTED_VALUE"""),"с ЕГАИС и МОТП, РАСШИРЕННЫЙ")</f>
        <v>с ЕГАИС и МОТП, РАСШИРЕННЫЙ</v>
      </c>
      <c r="C513" s="4" t="str">
        <f ca="1">IFERROR(__xludf.DUMMYFUNCTION("""COMPUTED_VALUE"""),"UP2-RTL15BET-ASTORTH7SP")</f>
        <v>UP2-RTL15BET-ASTORTH7SP</v>
      </c>
      <c r="D513" s="4" t="str">
        <f ca="1">IFERROR(__xludf.DUMMYFUNCTION("""COMPUTED_VALUE"""),"Переход на Mobile SMARTS: Магазин 15 с ЕГАИС и МОТП, РАСШИРЕННЫЙ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доступн"&amp;"ые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"&amp;"сбор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опер"&amp;"аций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3" s="4" t="str">
        <f ca="1">IFERROR(__xludf.DUMMYFUNCTION("""COMPUTED_VALUE"""),"Переход на Mobile SMARTS: Магазин 15 с ЕГАИС и МОТП, РАСШИРЕННЫЙ для «АСТОР: Торговый дом 7 SP», для работы с маркированным товаром: АЛКОГОЛЬ, ТАБАК и товары по штрихкодам ")</f>
        <v xml:space="preserve">Переход на Mobile SMARTS: Магазин 15 с ЕГАИС и МОТП, РАСШИРЕННЫЙ для «АСТОР: Торговый дом 7 SP», для работы с маркированным товаром: АЛКОГОЛЬ, ТАБАК и товары по штрихкодам </v>
      </c>
      <c r="F513" s="5">
        <f ca="1">IFERROR(__xludf.DUMMYFUNCTION("""COMPUTED_VALUE"""),9275)</f>
        <v>9275</v>
      </c>
    </row>
    <row r="514" spans="1:6" ht="44.25" customHeight="1" x14ac:dyDescent="0.2">
      <c r="A514" s="4" t="str">
        <f ca="1">IFERROR(__xludf.DUMMYFUNCTION("""COMPUTED_VALUE"""),"«АСТОР: Торговый дом 7 SP»")</f>
        <v>«АСТОР: Торговый дом 7 SP»</v>
      </c>
      <c r="B514" s="4" t="str">
        <f ca="1">IFERROR(__xludf.DUMMYFUNCTION("""COMPUTED_VALUE"""),"с ЕГАИС и МОТП, МЕГАМАРКЕТ")</f>
        <v>с ЕГАИС и МОТП, МЕГАМАРКЕТ</v>
      </c>
      <c r="C514" s="4" t="str">
        <f ca="1">IFERROR(__xludf.DUMMYFUNCTION("""COMPUTED_VALUE"""),"UP2-RTL15CET-ASTORTH7SP")</f>
        <v>UP2-RTL15CET-ASTORTH7SP</v>
      </c>
      <c r="D514" s="4" t="str">
        <f ca="1">IFERROR(__xludf.DUMMYFUNCTION("""COMPUTED_VALUE"""),"Переход на Mobile SMARTS: Магазин 15 с ЕГАИС и МОТП, МЕГАМАРКЕТ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доступны"&amp;"е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изменен"&amp;"ие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МЕГАМАРКЕТ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4" s="4" t="str">
        <f ca="1">IFERROR(__xludf.DUMMYFUNCTION("""COMPUTED_VALUE"""),"Переход на Mobile SMARTS: Магазин 15 с ЕГАИС и МОТП, МЕГАМАРКЕТ для «АСТОР: Торговый дом 7 SP», для работы с маркированным товаром: АЛКОГОЛЬ, ТАБАК и товары по штрихкодам ")</f>
        <v xml:space="preserve">Переход на Mobile SMARTS: Магазин 15 с ЕГАИС и МОТП, МЕГАМАРКЕТ для «АСТОР: Торговый дом 7 SP», для работы с маркированным товаром: АЛКОГОЛЬ, ТАБАК и товары по штрихкодам </v>
      </c>
      <c r="F514" s="5">
        <f ca="1">IFERROR(__xludf.DUMMYFUNCTION("""COMPUTED_VALUE"""),13175)</f>
        <v>13175</v>
      </c>
    </row>
    <row r="515" spans="1:6" ht="44.25" customHeight="1" x14ac:dyDescent="0.2">
      <c r="A515" s="4" t="str">
        <f ca="1">IFERROR(__xludf.DUMMYFUNCTION("""COMPUTED_VALUE"""),"«АСТОР: Модный магазин 7 SE»")</f>
        <v>«АСТОР: Модный магазин 7 SE»</v>
      </c>
      <c r="B515" s="4" t="str">
        <f ca="1">IFERROR(__xludf.DUMMYFUNCTION("""COMPUTED_VALUE"""),"МИНИМУМ")</f>
        <v>МИНИМУМ</v>
      </c>
      <c r="C515" s="4" t="str">
        <f ca="1">IFERROR(__xludf.DUMMYFUNCTION("""COMPUTED_VALUE"""),"UP2-RTL15M-ASTORFS7SE")</f>
        <v>UP2-RTL15M-ASTORFS7SE</v>
      </c>
      <c r="D515" s="4" t="str">
        <f ca="1">IFERROR(__xludf.DUMMYFUNCTION("""COMPUTED_VALUE"""),"Переход на Mobile SMARTS: Магазин 15, МИНИМУМ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то"&amp;"варов,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1"&amp;" (один) год")</f>
        <v>Переход на Mobile SMARTS: Магазин 15, МИНИМУМ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15" s="4" t="str">
        <f ca="1">IFERROR(__xludf.DUMMYFUNCTION("""COMPUTED_VALUE"""),"Переход на Mobile SMARTS: Магазин 15, МИНИМУМ для «АСТОР: Модный магазин 7 SE», для работы с товаром по штрихкодам ")</f>
        <v xml:space="preserve">Переход на Mobile SMARTS: Магазин 15, МИНИМУМ для «АСТОР: Модный магазин 7 SE», для работы с товаром по штрихкодам </v>
      </c>
      <c r="F515" s="5">
        <f ca="1">IFERROR(__xludf.DUMMYFUNCTION("""COMPUTED_VALUE"""),1725)</f>
        <v>1725</v>
      </c>
    </row>
    <row r="516" spans="1:6" ht="44.25" customHeight="1" x14ac:dyDescent="0.2">
      <c r="A516" s="4" t="str">
        <f ca="1">IFERROR(__xludf.DUMMYFUNCTION("""COMPUTED_VALUE"""),"«АСТОР: Модный магазин 7 SE»")</f>
        <v>«АСТОР: Модный магазин 7 SE»</v>
      </c>
      <c r="B516" s="4" t="str">
        <f ca="1">IFERROR(__xludf.DUMMYFUNCTION("""COMPUTED_VALUE"""),"БАЗОВЫЙ")</f>
        <v>БАЗОВЫЙ</v>
      </c>
      <c r="C516" s="4" t="str">
        <f ca="1">IFERROR(__xludf.DUMMYFUNCTION("""COMPUTED_VALUE"""),"UP2-RTL15A-ASTORFS7SE")</f>
        <v>UP2-RTL15A-ASTORFS7SE</v>
      </c>
      <c r="D516" s="4" t="str">
        <f ca="1">IFERROR(__xludf.DUMMYFUNCTION("""COMPUTED_VALUE"""),"Переход на Mobile SMARTS: Магазин 15, БАЗОВЫЙ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т"&amp;".ч.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суще"&amp;"ствующих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6" s="4" t="str">
        <f ca="1">IFERROR(__xludf.DUMMYFUNCTION("""COMPUTED_VALUE"""),"Переход на Mobile SMARTS: Магазин 15, БАЗОВЫЙ для «АСТОР: Модный магазин 7 SE», для работы с товаром по штрихкодам ")</f>
        <v xml:space="preserve">Переход на Mobile SMARTS: Магазин 15, БАЗОВЫЙ для «АСТОР: Модный магазин 7 SE», для работы с товаром по штрихкодам </v>
      </c>
      <c r="F516" s="5">
        <f ca="1">IFERROR(__xludf.DUMMYFUNCTION("""COMPUTED_VALUE"""),4325)</f>
        <v>4325</v>
      </c>
    </row>
    <row r="517" spans="1:6" ht="44.25" customHeight="1" x14ac:dyDescent="0.2">
      <c r="A517" s="4" t="str">
        <f ca="1">IFERROR(__xludf.DUMMYFUNCTION("""COMPUTED_VALUE"""),"«АСТОР: Модный магазин 7 SE»")</f>
        <v>«АСТОР: Модный магазин 7 SE»</v>
      </c>
      <c r="B517" s="4" t="str">
        <f ca="1">IFERROR(__xludf.DUMMYFUNCTION("""COMPUTED_VALUE"""),"РАСШИРЕННЫЙ")</f>
        <v>РАСШИРЕННЫЙ</v>
      </c>
      <c r="C517" s="4" t="str">
        <f ca="1">IFERROR(__xludf.DUMMYFUNCTION("""COMPUTED_VALUE"""),"UP2-RTL15B-ASTORFS7SE")</f>
        <v>UP2-RTL15B-ASTORFS7SE</v>
      </c>
      <c r="D517" s="4" t="str">
        <f ca="1">IFERROR(__xludf.DUMMYFUNCTION("""COMPUTED_VALUE"""),"Переход на Mobile SMARTS: Магазин 15, РАСШИРЕННЫЙ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"&amp;"(в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РАСШИРЕННЫЙ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7" s="4" t="str">
        <f ca="1">IFERROR(__xludf.DUMMYFUNCTION("""COMPUTED_VALUE"""),"Переход на Mobile SMARTS: Магазин 15, РАСШИРЕННЫЙ для «АСТОР: Модный магазин 7 SE», для работы с товаром по штрихкодам ")</f>
        <v xml:space="preserve">Переход на Mobile SMARTS: Магазин 15, РАСШИРЕННЫЙ для «АСТОР: Модный магазин 7 SE», для работы с товаром по штрихкодам </v>
      </c>
      <c r="F517" s="5">
        <f ca="1">IFERROR(__xludf.DUMMYFUNCTION("""COMPUTED_VALUE"""),7525)</f>
        <v>7525</v>
      </c>
    </row>
    <row r="518" spans="1:6" ht="44.25" customHeight="1" x14ac:dyDescent="0.2">
      <c r="A518" s="4" t="str">
        <f ca="1">IFERROR(__xludf.DUMMYFUNCTION("""COMPUTED_VALUE"""),"«АСТОР: Модный магазин 7 SE»")</f>
        <v>«АСТОР: Модный магазин 7 SE»</v>
      </c>
      <c r="B518" s="4" t="str">
        <f ca="1">IFERROR(__xludf.DUMMYFUNCTION("""COMPUTED_VALUE"""),"МЕГАМАРКЕТ")</f>
        <v>МЕГАМАРКЕТ</v>
      </c>
      <c r="C518" s="4" t="str">
        <f ca="1">IFERROR(__xludf.DUMMYFUNCTION("""COMPUTED_VALUE"""),"UP2-RTL15C-ASTORFS7SE")</f>
        <v>UP2-RTL15C-ASTORFS7SE</v>
      </c>
      <c r="D518" s="4" t="str">
        <f ca="1">IFERROR(__xludf.DUMMYFUNCTION("""COMPUTED_VALUE"""),"Переход на Mobile SMARTS: Магазин 15, МЕГАМАРКЕТ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("&amp;"в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на"&amp;"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МЕГАМАРКЕТ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8" s="4" t="str">
        <f ca="1">IFERROR(__xludf.DUMMYFUNCTION("""COMPUTED_VALUE"""),"Переход на Mobile SMARTS: Магазин 15, МЕГАМАРКЕТ для «АСТОР: Модный магазин 7 SE», для работы с товаром по штрихкодам ")</f>
        <v xml:space="preserve">Переход на Mobile SMARTS: Магазин 15, МЕГАМАРКЕТ для «АСТОР: Модный магазин 7 SE», для работы с товаром по штрихкодам </v>
      </c>
      <c r="F518" s="5">
        <f ca="1">IFERROR(__xludf.DUMMYFUNCTION("""COMPUTED_VALUE"""),10775)</f>
        <v>10775</v>
      </c>
    </row>
    <row r="519" spans="1:6" ht="44.25" customHeight="1" x14ac:dyDescent="0.2">
      <c r="A519" s="4"/>
      <c r="B519" s="4"/>
      <c r="C519" s="4" t="str">
        <f ca="1">IFERROR(__xludf.DUMMYFUNCTION("""COMPUTED_VALUE"""),"UP2-")</f>
        <v>UP2-</v>
      </c>
      <c r="D519" s="4" t="str">
        <f ca="1">IFERROR(__xludf.DUMMYFUNCTION("""COMPUTED_VALUE"""),"Переход на Лицензии для «Рарус» стандартные")</f>
        <v>Переход на Лицензии для «Рарус» стандартные</v>
      </c>
      <c r="E519" s="4" t="str">
        <f ca="1">IFERROR(__xludf.DUMMYFUNCTION("""COMPUTED_VALUE"""),"#VALUE!")</f>
        <v>#VALUE!</v>
      </c>
      <c r="F519" s="4" t="str">
        <f ca="1">IFERROR(__xludf.DUMMYFUNCTION("""COMPUTED_VALUE"""),"#N/A")</f>
        <v>#N/A</v>
      </c>
    </row>
    <row r="520" spans="1:6" ht="44.25" customHeight="1" x14ac:dyDescent="0.2">
      <c r="A520" s="4" t="str">
        <f ca="1">IFERROR(__xludf.DUMMYFUNCTION("""COMPUTED_VALUE"""),"«1С-Рарус: Торговый комплекс. Продовольственная сеть 8.1»")</f>
        <v>«1С-Рарус: Торговый комплекс. Продовольственная сеть 8.1»</v>
      </c>
      <c r="B520" s="4" t="str">
        <f ca="1">IFERROR(__xludf.DUMMYFUNCTION("""COMPUTED_VALUE"""),"МИНИМУМ")</f>
        <v>МИНИМУМ</v>
      </c>
      <c r="C520" s="4" t="str">
        <f ca="1">IFERROR(__xludf.DUMMYFUNCTION("""COMPUTED_VALUE"""),"UP2-RTL15M-TKTS")</f>
        <v>UP2-RTL15M-TKTS</v>
      </c>
      <c r="D520" s="4" t="str">
        <f ca="1">IFERROR(__xludf.DUMMYFUNCTION("""COMPUTED_VALUE"""),"Переход на 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онлайна"&amp;"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0" s="4" t="str">
        <f ca="1">IFERROR(__xludf.DUMMYFUNCTION("""COMPUTED_VALUE"""),"Переход на 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")</f>
        <v xml:space="preserve">Переход на 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</v>
      </c>
      <c r="F520" s="5">
        <f ca="1">IFERROR(__xludf.DUMMYFUNCTION("""COMPUTED_VALUE"""),1725)</f>
        <v>1725</v>
      </c>
    </row>
    <row r="521" spans="1:6" ht="44.25" customHeight="1" x14ac:dyDescent="0.2">
      <c r="A521" s="4" t="str">
        <f ca="1">IFERROR(__xludf.DUMMYFUNCTION("""COMPUTED_VALUE"""),"«1С-Рарус: Торговый комплекс. Продовольственная сеть 8.1»")</f>
        <v>«1С-Рарус: Торговый комплекс. Продовольственная сеть 8.1»</v>
      </c>
      <c r="B521" s="4" t="str">
        <f ca="1">IFERROR(__xludf.DUMMYFUNCTION("""COMPUTED_VALUE"""),"БАЗОВЫЙ")</f>
        <v>БАЗОВЫЙ</v>
      </c>
      <c r="C521" s="4" t="str">
        <f ca="1">IFERROR(__xludf.DUMMYFUNCTION("""COMPUTED_VALUE"""),"UP2-RTL15A-TKTS")</f>
        <v>UP2-RTL15A-TKTS</v>
      </c>
      <c r="D521" s="4" t="str">
        <f ca="1">IFERROR(__xludf.DUMMYFUNCTION("""COMPUTED_VALUE"""),"Переход на 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онлайна"&amp;"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 б"&amp;"ессрочная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1" s="4" t="str">
        <f ca="1">IFERROR(__xludf.DUMMYFUNCTION("""COMPUTED_VALUE"""),"Переход на 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")</f>
        <v xml:space="preserve">Переход на 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</v>
      </c>
      <c r="F521" s="5">
        <f ca="1">IFERROR(__xludf.DUMMYFUNCTION("""COMPUTED_VALUE"""),4325)</f>
        <v>4325</v>
      </c>
    </row>
    <row r="522" spans="1:6" ht="44.25" customHeight="1" x14ac:dyDescent="0.2">
      <c r="A522" s="4" t="str">
        <f ca="1">IFERROR(__xludf.DUMMYFUNCTION("""COMPUTED_VALUE"""),"«1С-Рарус: Торговый комплекс. Продовольственная сеть 8.1»")</f>
        <v>«1С-Рарус: Торговый комплекс. Продовольственная сеть 8.1»</v>
      </c>
      <c r="B522" s="4" t="str">
        <f ca="1">IFERROR(__xludf.DUMMYFUNCTION("""COMPUTED_VALUE"""),"с ЕГАИС, БАЗОВЫЙ")</f>
        <v>с ЕГАИС, БАЗОВЫЙ</v>
      </c>
      <c r="C522" s="4" t="str">
        <f ca="1">IFERROR(__xludf.DUMMYFUNCTION("""COMPUTED_VALUE"""),"UP2-RTL15AE-TKTS")</f>
        <v>UP2-RTL15AE-TKTS</v>
      </c>
      <c r="D522" s="4" t="str">
        <f ca="1">IFERROR(__xludf.DUMMYFUNCTION("""COMPUTED_VALUE"""),"Переход на 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нет"&amp;"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печать"&amp;"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2" s="4" t="str">
        <f ca="1">IFERROR(__xludf.DUMMYFUNCTION("""COMPUTED_VALUE"""),"Переход на 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")</f>
        <v xml:space="preserve">Переход на 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</v>
      </c>
      <c r="F522" s="5">
        <f ca="1">IFERROR(__xludf.DUMMYFUNCTION("""COMPUTED_VALUE"""),7525)</f>
        <v>7525</v>
      </c>
    </row>
    <row r="523" spans="1:6" ht="44.25" customHeight="1" x14ac:dyDescent="0.2">
      <c r="A523" s="4" t="str">
        <f ca="1">IFERROR(__xludf.DUMMYFUNCTION("""COMPUTED_VALUE"""),"«1С-Рарус: Торговый комплекс. Продовольственные товары 8.1»")</f>
        <v>«1С-Рарус: Торговый комплекс. Продовольственные товары 8.1»</v>
      </c>
      <c r="B523" s="4" t="str">
        <f ca="1">IFERROR(__xludf.DUMMYFUNCTION("""COMPUTED_VALUE"""),"МИНИМУМ")</f>
        <v>МИНИМУМ</v>
      </c>
      <c r="C523" s="4" t="str">
        <f ca="1">IFERROR(__xludf.DUMMYFUNCTION("""COMPUTED_VALUE"""),"UP2-RTL15M-TKPT")</f>
        <v>UP2-RTL15M-TKPT</v>
      </c>
      <c r="D523" s="4" t="str">
        <f ca="1">IFERROR(__xludf.DUMMYFUNCTION("""COMPUTED_VALUE"""),"Переход на 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онлай"&amp;"на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"&amp;"год")</f>
        <v>Переход на 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3" s="4" t="str">
        <f ca="1">IFERROR(__xludf.DUMMYFUNCTION("""COMPUTED_VALUE"""),"Переход на 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")</f>
        <v xml:space="preserve">Переход на 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</v>
      </c>
      <c r="F523" s="5">
        <f ca="1">IFERROR(__xludf.DUMMYFUNCTION("""COMPUTED_VALUE"""),1725)</f>
        <v>1725</v>
      </c>
    </row>
    <row r="524" spans="1:6" ht="44.25" customHeight="1" x14ac:dyDescent="0.2">
      <c r="A524" s="4" t="str">
        <f ca="1">IFERROR(__xludf.DUMMYFUNCTION("""COMPUTED_VALUE"""),"«1С-Рарус: Торговый комплекс. Продовольственные товары 8.1»")</f>
        <v>«1С-Рарус: Торговый комплекс. Продовольственные товары 8.1»</v>
      </c>
      <c r="B524" s="4" t="str">
        <f ca="1">IFERROR(__xludf.DUMMYFUNCTION("""COMPUTED_VALUE"""),"БАЗОВЫЙ")</f>
        <v>БАЗОВЫЙ</v>
      </c>
      <c r="C524" s="4" t="str">
        <f ca="1">IFERROR(__xludf.DUMMYFUNCTION("""COMPUTED_VALUE"""),"UP2-RTL15A-TKPT")</f>
        <v>UP2-RTL15A-TKPT</v>
      </c>
      <c r="D524" s="4" t="str">
        <f ca="1">IFERROR(__xludf.DUMMYFUNCTION("""COMPUTED_VALUE"""),"Переход на 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онлай"&amp;"на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/"&amp;"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4" s="4" t="str">
        <f ca="1">IFERROR(__xludf.DUMMYFUNCTION("""COMPUTED_VALUE"""),"Переход на 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")</f>
        <v xml:space="preserve">Переход на 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</v>
      </c>
      <c r="F524" s="5">
        <f ca="1">IFERROR(__xludf.DUMMYFUNCTION("""COMPUTED_VALUE"""),4325)</f>
        <v>4325</v>
      </c>
    </row>
    <row r="525" spans="1:6" ht="44.25" customHeight="1" x14ac:dyDescent="0.2">
      <c r="A525" s="4" t="str">
        <f ca="1">IFERROR(__xludf.DUMMYFUNCTION("""COMPUTED_VALUE"""),"«1С-Рарус: Торговый комплекс. Продовольственные товары 8.1»")</f>
        <v>«1С-Рарус: Торговый комплекс. Продовольственные товары 8.1»</v>
      </c>
      <c r="B525" s="4" t="str">
        <f ca="1">IFERROR(__xludf.DUMMYFUNCTION("""COMPUTED_VALUE"""),"с ЕГАИС, БАЗОВЫЙ")</f>
        <v>с ЕГАИС, БАЗОВЫЙ</v>
      </c>
      <c r="C525" s="4" t="str">
        <f ca="1">IFERROR(__xludf.DUMMYFUNCTION("""COMPUTED_VALUE"""),"UP2-RTL15AE-TKPT")</f>
        <v>UP2-RTL15AE-TKPT</v>
      </c>
      <c r="D525" s="4" t="str">
        <f ca="1">IFERROR(__xludf.DUMMYFUNCTION("""COMPUTED_VALUE"""),"Переход на 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н"&amp;"ет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печа"&amp;"ть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5" s="4" t="str">
        <f ca="1">IFERROR(__xludf.DUMMYFUNCTION("""COMPUTED_VALUE"""),"Переход на 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")</f>
        <v xml:space="preserve">Переход на 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</v>
      </c>
      <c r="F525" s="5">
        <f ca="1">IFERROR(__xludf.DUMMYFUNCTION("""COMPUTED_VALUE"""),7525)</f>
        <v>7525</v>
      </c>
    </row>
    <row r="526" spans="1:6" ht="44.25" customHeight="1" x14ac:dyDescent="0.2">
      <c r="A526" s="4" t="str">
        <f ca="1">IFERROR(__xludf.DUMMYFUNCTION("""COMPUTED_VALUE"""),"«1С: Общепит»")</f>
        <v>«1С: Общепит»</v>
      </c>
      <c r="B526" s="4" t="str">
        <f ca="1">IFERROR(__xludf.DUMMYFUNCTION("""COMPUTED_VALUE"""),"с ЕГАИС, БАЗОВЫЙ")</f>
        <v>с ЕГАИС, БАЗОВЫЙ</v>
      </c>
      <c r="C526" s="4" t="str">
        <f ca="1">IFERROR(__xludf.DUMMYFUNCTION("""COMPUTED_VALUE"""),"UP2-RTL15AE-1COP30")</f>
        <v>UP2-RTL15AE-1COP30</v>
      </c>
      <c r="D526" s="4" t="str">
        <f ca="1">IFERROR(__xludf.DUMMYFUNCTION("""COMPUTED_VALUE"""),"Переход на Mobile SMARTS: Магазин 15 с ЕГАИС, БАЗОВЫЙ для «1С: Общепит»,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штрихкод"&amp;"ов,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Общепит»,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6" s="4" t="str">
        <f ca="1">IFERROR(__xludf.DUMMYFUNCTION("""COMPUTED_VALUE"""),"Переход на Mobile SMARTS: Магазин 15 с ЕГАИС, БАЗОВЫЙ для «1С: Общепит», интеграция разработана правообладателем программного продукта «1С-Рарус» ")</f>
        <v xml:space="preserve">Переход на Mobile SMARTS: Магазин 15 с ЕГАИС, БАЗОВЫЙ для «1С: Общепит», интеграция разработана правообладателем программного продукта «1С-Рарус» </v>
      </c>
      <c r="F526" s="5">
        <f ca="1">IFERROR(__xludf.DUMMYFUNCTION("""COMPUTED_VALUE"""),3329)</f>
        <v>3329</v>
      </c>
    </row>
    <row r="527" spans="1:6" ht="44.25" customHeight="1" x14ac:dyDescent="0.2">
      <c r="A527" s="4" t="str">
        <f ca="1">IFERROR(__xludf.DUMMYFUNCTION("""COMPUTED_VALUE"""),"«1С: Общепит КОРП»")</f>
        <v>«1С: Общепит КОРП»</v>
      </c>
      <c r="B527" s="4" t="str">
        <f ca="1">IFERROR(__xludf.DUMMYFUNCTION("""COMPUTED_VALUE"""),"с ЕГАИС, БАЗОВЫЙ")</f>
        <v>с ЕГАИС, БАЗОВЫЙ</v>
      </c>
      <c r="C527" s="4" t="str">
        <f ca="1">IFERROR(__xludf.DUMMYFUNCTION("""COMPUTED_VALUE"""),"UP2-RTL15AE-1COPK30")</f>
        <v>UP2-RTL15AE-1COPK30</v>
      </c>
      <c r="D527" s="4" t="str">
        <f ca="1">IFERROR(__xludf.DUMMYFUNCTION("""COMPUTED_VALUE"""),"Переход на Mobile SMARTS: Магазин 15 с ЕГАИС, БАЗОВЫЙ для «1С: Общепит КОРП»,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штр"&amp;"ихкодов,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«1С: Общепит КОРП»,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7" s="4" t="str">
        <f ca="1">IFERROR(__xludf.DUMMYFUNCTION("""COMPUTED_VALUE"""),"Переход на Mobile SMARTS: Магазин 15 с ЕГАИС, БАЗОВЫЙ для «1С: Общепит КОРП», интеграция разработана правообладателем программного продукта «1С-Рарус» ")</f>
        <v xml:space="preserve">Переход на Mobile SMARTS: Магазин 15 с ЕГАИС, БАЗОВЫЙ для «1С: Общепит КОРП», интеграция разработана правообладателем программного продукта «1С-Рарус» </v>
      </c>
      <c r="F527" s="5">
        <f ca="1">IFERROR(__xludf.DUMMYFUNCTION("""COMPUTED_VALUE"""),3329)</f>
        <v>3329</v>
      </c>
    </row>
    <row r="528" spans="1:6" ht="44.25" customHeight="1" x14ac:dyDescent="0.2">
      <c r="A528" s="4" t="str">
        <f ca="1">IFERROR(__xludf.DUMMYFUNCTION("""COMPUTED_VALUE"""),"«1С-Рарус: Управление рестораном 3»")</f>
        <v>«1С-Рарус: Управление рестораном 3»</v>
      </c>
      <c r="B528" s="4" t="str">
        <f ca="1">IFERROR(__xludf.DUMMYFUNCTION("""COMPUTED_VALUE"""),"с ЕГАИС, БАЗОВЫЙ")</f>
        <v>с ЕГАИС, БАЗОВЫЙ</v>
      </c>
      <c r="C528" s="4" t="str">
        <f ca="1">IFERROR(__xludf.DUMMYFUNCTION("""COMPUTED_VALUE"""),"UP2-RTL15AE-1CUR30")</f>
        <v>UP2-RTL15AE-1CUR30</v>
      </c>
      <c r="D528" s="4" t="str">
        <f ca="1">IFERROR(__xludf.DUMMYFUNCTION("""COMPUTED_VALUE"""),"Переход на Mobile SMARTS: Магазин 15 с ЕГАИС, БАЗОВЫЙ для «1С-Рарус: Управление рестораном 3»,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о"&amp;"перации: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«1С-Рарус: Управление рестораном 3»,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8" s="4" t="str">
        <f ca="1">IFERROR(__xludf.DUMMYFUNCTION("""COMPUTED_VALUE"""),"Переход на Mobile SMARTS: Магазин 15 с ЕГАИС, БАЗОВЫЙ для «1С-Рарус: Управление рестораном 3», интеграция разработана правообладателем программного продукта «1С-Рарус» ")</f>
        <v xml:space="preserve">Переход на Mobile SMARTS: Магазин 15 с ЕГАИС, БАЗОВЫЙ для «1С-Рарус: Управление рестораном 3», интеграция разработана правообладателем программного продукта «1С-Рарус» </v>
      </c>
      <c r="F528" s="5">
        <f ca="1">IFERROR(__xludf.DUMMYFUNCTION("""COMPUTED_VALUE"""),3329)</f>
        <v>3329</v>
      </c>
    </row>
    <row r="529" spans="1:6" ht="44.25" customHeight="1" x14ac:dyDescent="0.2">
      <c r="A529" s="4" t="str">
        <f ca="1">IFERROR(__xludf.DUMMYFUNCTION("""COMPUTED_VALUE"""),"«1С-Рарус: Комбинат питания 1»")</f>
        <v>«1С-Рарус: Комбинат питания 1»</v>
      </c>
      <c r="B529" s="4" t="str">
        <f ca="1">IFERROR(__xludf.DUMMYFUNCTION("""COMPUTED_VALUE"""),"с ЕГАИС, БАЗОВЫЙ")</f>
        <v>с ЕГАИС, БАЗОВЫЙ</v>
      </c>
      <c r="C529" s="4" t="str">
        <f ca="1">IFERROR(__xludf.DUMMYFUNCTION("""COMPUTED_VALUE"""),"UP2-RTL15AE-1CKP10")</f>
        <v>UP2-RTL15AE-1CKP10</v>
      </c>
      <c r="D529" s="4" t="str">
        <f ca="1">IFERROR(__xludf.DUMMYFUNCTION("""COMPUTED_VALUE"""),"Переход на Mobile SMARTS: Магазин 15 с ЕГАИС, БАЗОВЫЙ для «1С-Рарус: Комбинат питания 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операц"&amp;"ии: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«1С-Рарус: Комбинат питания 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9" s="4" t="str">
        <f ca="1">IFERROR(__xludf.DUMMYFUNCTION("""COMPUTED_VALUE"""),"Переход на Mobile SMARTS: Магазин 15 с ЕГАИС, БАЗОВЫЙ для «1С-Рарус: Комбинат питания 1», интеграция разработана правообладателем программного продукта «1С-Рарус» ")</f>
        <v xml:space="preserve">Переход на Mobile SMARTS: Магазин 15 с ЕГАИС, БАЗОВЫЙ для «1С-Рарус: Комбинат питания 1», интеграция разработана правообладателем программного продукта «1С-Рарус» </v>
      </c>
      <c r="F529" s="5">
        <f ca="1">IFERROR(__xludf.DUMMYFUNCTION("""COMPUTED_VALUE"""),3329)</f>
        <v>3329</v>
      </c>
    </row>
    <row r="530" spans="1:6" ht="44.25" customHeight="1" x14ac:dyDescent="0.2">
      <c r="A530" s="4" t="str">
        <f ca="1">IFERROR(__xludf.DUMMYFUNCTION("""COMPUTED_VALUE"""),"«1С-Рарус: Управление отелем 2»")</f>
        <v>«1С-Рарус: Управление отелем 2»</v>
      </c>
      <c r="B530" s="4" t="str">
        <f ca="1">IFERROR(__xludf.DUMMYFUNCTION("""COMPUTED_VALUE"""),"с ЕГАИС, БАЗОВЫЙ")</f>
        <v>с ЕГАИС, БАЗОВЫЙ</v>
      </c>
      <c r="C530" s="4" t="str">
        <f ca="1">IFERROR(__xludf.DUMMYFUNCTION("""COMPUTED_VALUE"""),"UP2-RTL15AE-1CMH")</f>
        <v>UP2-RTL15AE-1CMH</v>
      </c>
      <c r="D530" s="4" t="str">
        <f ca="1">IFERROR(__xludf.DUMMYFUNCTION("""COMPUTED_VALUE"""),"Переход на Mobile SMARTS: Магазин 15 с ЕГАИС, БАЗОВЫЙ для «1С-Рарус: Управление отелем 2»,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опера"&amp;"ции: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ЕГАИС, БАЗОВЫЙ для «1С-Рарус: Управление отелем 2»,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0" s="4" t="str">
        <f ca="1">IFERROR(__xludf.DUMMYFUNCTION("""COMPUTED_VALUE"""),"Переход на Mobile SMARTS: Магазин 15 с ЕГАИС, БАЗОВЫЙ для «1С-Рарус: Управление отелем 2», интеграция разработана правообладателем программного продукта «1С-Рарус» ")</f>
        <v xml:space="preserve">Переход на Mobile SMARTS: Магазин 15 с ЕГАИС, БАЗОВЫЙ для «1С-Рарус: Управление отелем 2», интеграция разработана правообладателем программного продукта «1С-Рарус» </v>
      </c>
      <c r="F530" s="5">
        <f ca="1">IFERROR(__xludf.DUMMYFUNCTION("""COMPUTED_VALUE"""),3329)</f>
        <v>3329</v>
      </c>
    </row>
    <row r="531" spans="1:6" ht="44.25" customHeight="1" x14ac:dyDescent="0.2">
      <c r="A531" s="4" t="str">
        <f ca="1">IFERROR(__xludf.DUMMYFUNCTION("""COMPUTED_VALUE"""),"«1С-Рарус: Управление санаторно-курортным комплексом 2»")</f>
        <v>«1С-Рарус: Управление санаторно-курортным комплексом 2»</v>
      </c>
      <c r="B531" s="4" t="str">
        <f ca="1">IFERROR(__xludf.DUMMYFUNCTION("""COMPUTED_VALUE"""),"с ЕГАИС, БАЗОВЫЙ")</f>
        <v>с ЕГАИС, БАЗОВЫЙ</v>
      </c>
      <c r="C531" s="4" t="str">
        <f ca="1">IFERROR(__xludf.DUMMYFUNCTION("""COMPUTED_VALUE"""),"UP2-RTL15AE-1CMSRC")</f>
        <v>UP2-RTL15AE-1CMSRC</v>
      </c>
      <c r="D531" s="4" t="str">
        <f ca="1">IFERROR(__xludf.DUMMYFUNCTION("""COMPUTED_VALUE"""),"Переход на 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/ на выбор проводной, беспроводной или обмен через Интернет / нет о"&amp;"нлайна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(од"&amp;"ин) год")</f>
        <v>Переход на 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1" s="4" t="str">
        <f ca="1">IFERROR(__xludf.DUMMYFUNCTION("""COMPUTED_VALUE"""),"Переход на 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")</f>
        <v xml:space="preserve">Переход на 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</v>
      </c>
      <c r="F531" s="5">
        <f ca="1">IFERROR(__xludf.DUMMYFUNCTION("""COMPUTED_VALUE"""),3329)</f>
        <v>3329</v>
      </c>
    </row>
    <row r="532" spans="1:6" ht="44.25" customHeight="1" x14ac:dyDescent="0.2">
      <c r="A532" s="4"/>
      <c r="B532" s="4"/>
      <c r="C532" s="4" t="str">
        <f ca="1">IFERROR(__xludf.DUMMYFUNCTION("""COMPUTED_VALUE"""),"UP2-")</f>
        <v>UP2-</v>
      </c>
      <c r="D532" s="4" t="str">
        <f ca="1">IFERROR(__xludf.DUMMYFUNCTION("""COMPUTED_VALUE"""),"Переход на Лицензии для «1С:Предприятия» не стандартные (+2000р)")</f>
        <v>Переход на Лицензии для «1С:Предприятия» не стандартные (+2000р)</v>
      </c>
      <c r="E532" s="4" t="str">
        <f ca="1">IFERROR(__xludf.DUMMYFUNCTION("""COMPUTED_VALUE"""),"#VALUE!")</f>
        <v>#VALUE!</v>
      </c>
      <c r="F532" s="4" t="str">
        <f ca="1">IFERROR(__xludf.DUMMYFUNCTION("""COMPUTED_VALUE"""),"#N/A")</f>
        <v>#N/A</v>
      </c>
    </row>
    <row r="533" spans="1:6" ht="44.25" customHeight="1" x14ac:dyDescent="0.2">
      <c r="A533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3" s="4" t="str">
        <f ca="1">IFERROR(__xludf.DUMMYFUNCTION("""COMPUTED_VALUE"""),"МИНИМУМ")</f>
        <v>МИНИМУМ</v>
      </c>
      <c r="C533" s="4" t="str">
        <f ca="1">IFERROR(__xludf.DUMMYFUNCTION("""COMPUTED_VALUE"""),"UP2-RTL15M-1C77")</f>
        <v>UP2-RTL15M-1C77</v>
      </c>
      <c r="D533" s="4" t="str">
        <f ca="1">IFERROR(__xludf.DUMMYFUNCTION("""COMPUTED_VALUE"""),"Переход на 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Интер"&amp;"нет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лице"&amp;"нзия на 1 (одно) моб. устройство, подписка на обновления и обмен через Интернет на 1 (один) год")</f>
        <v>Переход на 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3" s="4" t="str">
        <f ca="1">IFERROR(__xludf.DUMMYFUNCTION("""COMPUTED_VALUE"""),"Переход на 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</v>
      </c>
      <c r="F533" s="5">
        <f ca="1">IFERROR(__xludf.DUMMYFUNCTION("""COMPUTED_VALUE"""),2725)</f>
        <v>2725</v>
      </c>
    </row>
    <row r="534" spans="1:6" ht="44.25" customHeight="1" x14ac:dyDescent="0.2">
      <c r="A534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4" s="4" t="str">
        <f ca="1">IFERROR(__xludf.DUMMYFUNCTION("""COMPUTED_VALUE"""),"БАЗОВЫЙ")</f>
        <v>БАЗОВЫЙ</v>
      </c>
      <c r="C534" s="4" t="str">
        <f ca="1">IFERROR(__xludf.DUMMYFUNCTION("""COMPUTED_VALUE"""),"UP2-RTL15A-1C77")</f>
        <v>UP2-RTL15A-1C77</v>
      </c>
      <c r="D534" s="4" t="str">
        <f ca="1">IFERROR(__xludf.DUMMYFUNCTION("""COMPUTED_VALUE"""),"Переход на 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Интер"&amp;"нет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4" s="4" t="str">
        <f ca="1">IFERROR(__xludf.DUMMYFUNCTION("""COMPUTED_VALUE"""),"Переход на 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</v>
      </c>
      <c r="F534" s="5">
        <f ca="1">IFERROR(__xludf.DUMMYFUNCTION("""COMPUTED_VALUE"""),5325)</f>
        <v>5325</v>
      </c>
    </row>
    <row r="535" spans="1:6" ht="44.25" customHeight="1" x14ac:dyDescent="0.2">
      <c r="A535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5" s="4" t="str">
        <f ca="1">IFERROR(__xludf.DUMMYFUNCTION("""COMPUTED_VALUE"""),"РАСШИРЕННЫЙ")</f>
        <v>РАСШИРЕННЫЙ</v>
      </c>
      <c r="C535" s="4" t="str">
        <f ca="1">IFERROR(__xludf.DUMMYFUNCTION("""COMPUTED_VALUE"""),"UP2-RTL15B-1C77")</f>
        <v>UP2-RTL15B-1C77</v>
      </c>
      <c r="D535" s="4" t="str">
        <f ca="1">IFERROR(__xludf.DUMMYFUNCTION("""COMPUTED_VALUE"""),"Переход на 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И"&amp;"нтернет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5" s="4" t="str">
        <f ca="1">IFERROR(__xludf.DUMMYFUNCTION("""COMPUTED_VALUE"""),"Переход на 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</v>
      </c>
      <c r="F535" s="5">
        <f ca="1">IFERROR(__xludf.DUMMYFUNCTION("""COMPUTED_VALUE"""),8525)</f>
        <v>8525</v>
      </c>
    </row>
    <row r="536" spans="1:6" ht="44.25" customHeight="1" x14ac:dyDescent="0.2">
      <c r="A536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6" s="4" t="str">
        <f ca="1">IFERROR(__xludf.DUMMYFUNCTION("""COMPUTED_VALUE"""),"МЕГАМАРКЕТ")</f>
        <v>МЕГАМАРКЕТ</v>
      </c>
      <c r="C536" s="4" t="str">
        <f ca="1">IFERROR(__xludf.DUMMYFUNCTION("""COMPUTED_VALUE"""),"UP2-RTL15C-1C77")</f>
        <v>UP2-RTL15C-1C77</v>
      </c>
      <c r="D536" s="4" t="str">
        <f ca="1">IFERROR(__xludf.DUMMYFUNCTION("""COMPUTED_VALUE"""),"Переход на 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Ин"&amp;"тернет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"&amp;"коллективная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Переход на 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6" s="4" t="str">
        <f ca="1">IFERROR(__xludf.DUMMYFUNCTION("""COMPUTED_VALUE"""),"Переход на 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</v>
      </c>
      <c r="F536" s="5">
        <f ca="1">IFERROR(__xludf.DUMMYFUNCTION("""COMPUTED_VALUE"""),11775)</f>
        <v>11775</v>
      </c>
    </row>
    <row r="537" spans="1:6" ht="44.25" customHeight="1" x14ac:dyDescent="0.2">
      <c r="A537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7" s="4" t="str">
        <f ca="1">IFERROR(__xludf.DUMMYFUNCTION("""COMPUTED_VALUE"""),"с ЕГАИС, БАЗОВЫЙ")</f>
        <v>с ЕГАИС, БАЗОВЫЙ</v>
      </c>
      <c r="C537" s="4" t="str">
        <f ca="1">IFERROR(__xludf.DUMMYFUNCTION("""COMPUTED_VALUE"""),"UP2-RTL15AE-1C77")</f>
        <v>UP2-RTL15AE-1C77</v>
      </c>
      <c r="D537" s="4" t="str">
        <f ca="1">IFERROR(__xludf.DUMMYFUNCTION("""COMPUTED_VALUE"""),"Переход на 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выбо"&amp;"р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про"&amp;"смотр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м"&amp;"об. устройство, подписка на обновления и обмен через Интернет на 1 (один) год")</f>
        <v>Переход на 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7" s="4" t="str">
        <f ca="1">IFERROR(__xludf.DUMMYFUNCTION("""COMPUTED_VALUE"""),"Переход на 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37" s="5">
        <f ca="1">IFERROR(__xludf.DUMMYFUNCTION("""COMPUTED_VALUE"""),6500)</f>
        <v>6500</v>
      </c>
    </row>
    <row r="538" spans="1:6" ht="44.25" customHeight="1" x14ac:dyDescent="0.2">
      <c r="A538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8" s="4" t="str">
        <f ca="1">IFERROR(__xludf.DUMMYFUNCTION("""COMPUTED_VALUE"""),"с ЕГАИС, РАСШИРЕННЫЙ")</f>
        <v>с ЕГАИС, РАСШИРЕННЫЙ</v>
      </c>
      <c r="C538" s="4" t="str">
        <f ca="1">IFERROR(__xludf.DUMMYFUNCTION("""COMPUTED_VALUE"""),"UP2-RTL15BE-1C77")</f>
        <v>UP2-RTL15BE-1C77</v>
      </c>
      <c r="D538" s="4" t="str">
        <f ca="1">IFERROR(__xludf.DUMMYFUNCTION("""COMPUTED_VALUE"""),"Переход на 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"&amp;"выбор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штрихкодов,"&amp;"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Переход на 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8" s="4" t="str">
        <f ca="1">IFERROR(__xludf.DUMMYFUNCTION("""COMPUTED_VALUE"""),"Переход на 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38" s="5">
        <f ca="1">IFERROR(__xludf.DUMMYFUNCTION("""COMPUTED_VALUE"""),9725)</f>
        <v>9725</v>
      </c>
    </row>
    <row r="539" spans="1:6" ht="44.25" customHeight="1" x14ac:dyDescent="0.2">
      <c r="A539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9" s="4" t="str">
        <f ca="1">IFERROR(__xludf.DUMMYFUNCTION("""COMPUTED_VALUE"""),"с ЕГАИС (без CheckMark2), МЕГАМАРКЕТ")</f>
        <v>с ЕГАИС (без CheckMark2), МЕГАМАРКЕТ</v>
      </c>
      <c r="C539" s="4" t="str">
        <f ca="1">IFERROR(__xludf.DUMMYFUNCTION("""COMPUTED_VALUE"""),"UP2-RTL15CEV-1C77")</f>
        <v>UP2-RTL15CEV-1C77</v>
      </c>
      <c r="D539" s="4" t="str">
        <f ca="1">IFERROR(__xludf.DUMMYFUNCTION("""COMPUTED_VALUE"""),"Переход на 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"&amp;"штрихкодам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"&amp;"сбор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свои"&amp;"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9" s="4" t="str">
        <f ca="1">IFERROR(__xludf.DUMMYFUNCTION("""COMPUTED_VALUE"""),"Переход на 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"&amp;"штрихкодам ")</f>
        <v xml:space="preserve">Переход на 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39" s="5">
        <f ca="1">IFERROR(__xludf.DUMMYFUNCTION("""COMPUTED_VALUE"""),12925)</f>
        <v>12925</v>
      </c>
    </row>
    <row r="540" spans="1:6" ht="44.25" customHeight="1" x14ac:dyDescent="0.2">
      <c r="A540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0" s="4" t="str">
        <f ca="1">IFERROR(__xludf.DUMMYFUNCTION("""COMPUTED_VALUE"""),"с МОТП, БАЗОВЫЙ")</f>
        <v>с МОТП, БАЗОВЫЙ</v>
      </c>
      <c r="C540" s="4" t="str">
        <f ca="1">IFERROR(__xludf.DUMMYFUNCTION("""COMPUTED_VALUE"""),"UP2-RTL15AT-1C77")</f>
        <v>UP2-RTL15AT-1C77</v>
      </c>
      <c r="D540" s="4" t="str">
        <f ca="1">IFERROR(__xludf.DUMMYFUNCTION("""COMPUTED_VALUE"""),"Переход на 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проводно"&amp;"й,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"&amp;"моб. устройство, подписка на обновления и обмен через Интернет на 1 (один) год")</f>
        <v>Переход на 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0" s="4" t="str">
        <f ca="1">IFERROR(__xludf.DUMMYFUNCTION("""COMPUTED_VALUE"""),"Переход на 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40" s="5">
        <f ca="1">IFERROR(__xludf.DUMMYFUNCTION("""COMPUTED_VALUE"""),6575)</f>
        <v>6575</v>
      </c>
    </row>
    <row r="541" spans="1:6" ht="44.25" customHeight="1" x14ac:dyDescent="0.2">
      <c r="A541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1" s="4" t="str">
        <f ca="1">IFERROR(__xludf.DUMMYFUNCTION("""COMPUTED_VALUE"""),"с МОТП, РАСШИРЕННЫЙ")</f>
        <v>с МОТП, РАСШИРЕННЫЙ</v>
      </c>
      <c r="C541" s="4" t="str">
        <f ca="1">IFERROR(__xludf.DUMMYFUNCTION("""COMPUTED_VALUE"""),"UP2-RTL15BT-1C77")</f>
        <v>UP2-RTL15BT-1C77</v>
      </c>
      <c r="D541" s="4" t="str">
        <f ca="1">IFERROR(__xludf.DUMMYFUNCTION("""COMPUTED_VALUE"""),"Переход на 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пров"&amp;"одной,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(од"&amp;"но) моб. устройство, подписка на обновления и обмен через Интернет на 1 (один) год")</f>
        <v>Переход на 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1" s="4" t="str">
        <f ca="1">IFERROR(__xludf.DUMMYFUNCTION("""COMPUTED_VALUE"""),"Переход на 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41" s="5">
        <f ca="1">IFERROR(__xludf.DUMMYFUNCTION("""COMPUTED_VALUE"""),9725)</f>
        <v>9725</v>
      </c>
    </row>
    <row r="542" spans="1:6" ht="44.25" customHeight="1" x14ac:dyDescent="0.2">
      <c r="A542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2" s="4" t="str">
        <f ca="1">IFERROR(__xludf.DUMMYFUNCTION("""COMPUTED_VALUE"""),"с МОТП, МЕГАМАРКЕТ")</f>
        <v>с МОТП, МЕГАМАРКЕТ</v>
      </c>
      <c r="C542" s="4" t="str">
        <f ca="1">IFERROR(__xludf.DUMMYFUNCTION("""COMPUTED_VALUE"""),"UP2-RTL15CT-1C77")</f>
        <v>UP2-RTL15CT-1C77</v>
      </c>
      <c r="D542" s="4" t="str">
        <f ca="1">IFERROR(__xludf.DUMMYFUNCTION("""COMPUTED_VALUE"""),"Переход на 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прово"&amp;"дной,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бессрочн"&amp;"ая лицензия на 1 (одно) моб. устройство, подписка на обновления и обмен через Интернет на 1 (один) год")</f>
        <v>Переход на 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2" s="4" t="str">
        <f ca="1">IFERROR(__xludf.DUMMYFUNCTION("""COMPUTED_VALUE"""),"Переход на 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42" s="5">
        <f ca="1">IFERROR(__xludf.DUMMYFUNCTION("""COMPUTED_VALUE"""),12925)</f>
        <v>12925</v>
      </c>
    </row>
    <row r="543" spans="1:6" ht="44.25" customHeight="1" x14ac:dyDescent="0.2">
      <c r="A543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3" s="4" t="str">
        <f ca="1">IFERROR(__xludf.DUMMYFUNCTION("""COMPUTED_VALUE"""),"с ЕГАИС и МОТП, БАЗОВЫЙ")</f>
        <v>с ЕГАИС и МОТП, БАЗОВЫЙ</v>
      </c>
      <c r="C543" s="4" t="str">
        <f ca="1">IFERROR(__xludf.DUMMYFUNCTION("""COMPUTED_VALUE"""),"UP2-RTL15AET-1C77")</f>
        <v>UP2-RTL15AET-1C77</v>
      </c>
      <c r="D543" s="4" t="str">
        <f ca="1">IFERROR(__xludf.DUMMYFUNCTION("""COMPUTED_VALUE"""),"Переход на 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/"&amp;"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мобильный"&amp;"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3" s="4" t="str">
        <f ca="1">IFERROR(__xludf.DUMMYFUNCTION("""COMPUTED_VALUE"""),"Переход на 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43" s="5">
        <f ca="1">IFERROR(__xludf.DUMMYFUNCTION("""COMPUTED_VALUE"""),7075)</f>
        <v>7075</v>
      </c>
    </row>
    <row r="544" spans="1:6" ht="44.25" customHeight="1" x14ac:dyDescent="0.2">
      <c r="A544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4" s="4" t="str">
        <f ca="1">IFERROR(__xludf.DUMMYFUNCTION("""COMPUTED_VALUE"""),"с ЕГАИС и МОТП, РАСШИРЕННЫЙ")</f>
        <v>с ЕГАИС и МОТП, РАСШИРЕННЫЙ</v>
      </c>
      <c r="C544" s="4" t="str">
        <f ca="1">IFERROR(__xludf.DUMMYFUNCTION("""COMPUTED_VALUE"""),"UP2-RTL15BET-1C77")</f>
        <v>UP2-RTL15BET-1C77</v>
      </c>
      <c r="D544" s="4" t="str">
        <f ca="1">IFERROR(__xludf.DUMMYFUNCTION("""COMPUTED_VALUE"""),"Переход на 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штрихкод"&amp;"ам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мобил"&amp;"ьный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4" s="4" t="str">
        <f ca="1">IFERROR(__xludf.DUMMYFUNCTION("""COMPUTED_VALUE"""),"Переход на 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штрихкод"&amp;"ам ")</f>
        <v xml:space="preserve">Переход на 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44" s="5">
        <f ca="1">IFERROR(__xludf.DUMMYFUNCTION("""COMPUTED_VALUE"""),10275)</f>
        <v>10275</v>
      </c>
    </row>
    <row r="545" spans="1:6" ht="44.25" customHeight="1" x14ac:dyDescent="0.2">
      <c r="A545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5" s="4" t="str">
        <f ca="1">IFERROR(__xludf.DUMMYFUNCTION("""COMPUTED_VALUE"""),"с ЕГАИС и МОТП, МЕГАМАРКЕТ")</f>
        <v>с ЕГАИС и МОТП, МЕГАМАРКЕТ</v>
      </c>
      <c r="C545" s="4" t="str">
        <f ca="1">IFERROR(__xludf.DUMMYFUNCTION("""COMPUTED_VALUE"""),"UP2-RTL15CET-1C77")</f>
        <v>UP2-RTL15CET-1C77</v>
      </c>
      <c r="D545" s="4" t="str">
        <f ca="1">IFERROR(__xludf.DUMMYFUNCTION("""COMPUTED_VALUE"""),"Переход на 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штрихкода"&amp;"м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мобиль"&amp;"ный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ра"&amp;"бота,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(оди"&amp;"н) год")</f>
        <v>Переход на 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5" s="4" t="str">
        <f ca="1">IFERROR(__xludf.DUMMYFUNCTION("""COMPUTED_VALUE"""),"Переход на 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штрихкода"&amp;"м ")</f>
        <v xml:space="preserve">Переход на 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45" s="5">
        <f ca="1">IFERROR(__xludf.DUMMYFUNCTION("""COMPUTED_VALUE"""),14175)</f>
        <v>14175</v>
      </c>
    </row>
    <row r="546" spans="1:6" ht="44.25" customHeight="1" x14ac:dyDescent="0.2">
      <c r="A546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6" s="4" t="str">
        <f ca="1">IFERROR(__xludf.DUMMYFUNCTION("""COMPUTED_VALUE"""),"ШМОТКИ, БАЗОВЫЙ")</f>
        <v>ШМОТКИ, БАЗОВЫЙ</v>
      </c>
      <c r="C546" s="4" t="str">
        <f ca="1">IFERROR(__xludf.DUMMYFUNCTION("""COMPUTED_VALUE"""),"UP2-RTL15AK-1C77")</f>
        <v>UP2-RTL15AK-1C77</v>
      </c>
      <c r="D546" s="4" t="str">
        <f ca="1">IFERROR(__xludf.DUMMYFUNCTION("""COMPUTED_VALUE"""),"Переход на 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штрихкод"&amp;"ам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бессрочная"&amp;" лицензия на 1 (одно) моб. устройство, подписка на обновления и обмен через Интернет на 1 (один) год")</f>
        <v>Переход на 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6" s="4" t="str">
        <f ca="1">IFERROR(__xludf.DUMMYFUNCTION("""COMPUTED_VALUE"""),"Переход на 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штрихкод"&amp;"ам ")</f>
        <v xml:space="preserve">Переход на 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46" s="5">
        <f ca="1">IFERROR(__xludf.DUMMYFUNCTION("""COMPUTED_VALUE"""),7075)</f>
        <v>7075</v>
      </c>
    </row>
    <row r="547" spans="1:6" ht="44.25" customHeight="1" x14ac:dyDescent="0.2">
      <c r="A547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7" s="4" t="str">
        <f ca="1">IFERROR(__xludf.DUMMYFUNCTION("""COMPUTED_VALUE"""),"ШМОТКИ, РАСШИРЕННЫЙ")</f>
        <v>ШМОТКИ, РАСШИРЕННЫЙ</v>
      </c>
      <c r="C547" s="4" t="str">
        <f ca="1">IFERROR(__xludf.DUMMYFUNCTION("""COMPUTED_VALUE"""),"UP2-RTL15BK-1C77")</f>
        <v>UP2-RTL15BK-1C77</v>
      </c>
      <c r="D547" s="4" t="str">
        <f ca="1">IFERROR(__xludf.DUMMYFUNCTION("""COMPUTED_VALUE"""),"Переход на 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штри"&amp;"хкодам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Переход на 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7" s="4" t="str">
        <f ca="1">IFERROR(__xludf.DUMMYFUNCTION("""COMPUTED_VALUE"""),"Переход на 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штри"&amp;"хкодам ")</f>
        <v xml:space="preserve">Переход на 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47" s="5">
        <f ca="1">IFERROR(__xludf.DUMMYFUNCTION("""COMPUTED_VALUE"""),10275)</f>
        <v>10275</v>
      </c>
    </row>
    <row r="548" spans="1:6" ht="44.25" customHeight="1" x14ac:dyDescent="0.2">
      <c r="A548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8" s="4" t="str">
        <f ca="1">IFERROR(__xludf.DUMMYFUNCTION("""COMPUTED_VALUE"""),"ШМОТКИ, МЕГАМАРКЕТ")</f>
        <v>ШМОТКИ, МЕГАМАРКЕТ</v>
      </c>
      <c r="C548" s="4" t="str">
        <f ca="1">IFERROR(__xludf.DUMMYFUNCTION("""COMPUTED_VALUE"""),"UP2-RTL15CK-1C77")</f>
        <v>UP2-RTL15CK-1C77</v>
      </c>
      <c r="D548" s="4" t="str">
        <f ca="1">IFERROR(__xludf.DUMMYFUNCTION("""COMPUTED_VALUE"""),"Переход на 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про"&amp;"водной,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Переход на 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8" s="4" t="str">
        <f ca="1">IFERROR(__xludf.DUMMYFUNCTION("""COMPUTED_VALUE"""),"Переход на 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")</f>
        <v xml:space="preserve">Переход на 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</v>
      </c>
      <c r="F548" s="5">
        <f ca="1">IFERROR(__xludf.DUMMYFUNCTION("""COMPUTED_VALUE"""),14175)</f>
        <v>14175</v>
      </c>
    </row>
    <row r="549" spans="1:6" ht="44.25" customHeight="1" x14ac:dyDescent="0.2">
      <c r="A549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9" s="4" t="str">
        <f ca="1">IFERROR(__xludf.DUMMYFUNCTION("""COMPUTED_VALUE"""),"с МДЛП, БАЗОВЫЙ")</f>
        <v>с МДЛП, БАЗОВЫЙ</v>
      </c>
      <c r="C549" s="4" t="str">
        <f ca="1">IFERROR(__xludf.DUMMYFUNCTION("""COMPUTED_VALUE"""),"UP2-RTL15AL-1C77")</f>
        <v>UP2-RTL15AL-1C77</v>
      </c>
      <c r="D549" s="4" t="str">
        <f ca="1">IFERROR(__xludf.DUMMYFUNCTION("""COMPUTED_VALUE"""),"Переход на Mobile SMARTS: Магазин 15 с МДЛП,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вы"&amp;"бор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штрих"&amp;"кодов,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подпис"&amp;"ка на обновления на 1 (один) год")</f>
        <v>Переход на Mobile SMARTS: Магазин 15 с МДЛП,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49" s="4" t="str">
        <f ca="1">IFERROR(__xludf.DUMMYFUNCTION("""COMPUTED_VALUE"""),"Переход на Mobile SMARTS: Магазин 15 с МДЛП, БАЗОВЫЙ для конфигурации на базе «1С:Предприятия 7.7» ")</f>
        <v xml:space="preserve">Переход на Mobile SMARTS: Магазин 15 с МДЛП, БАЗОВЫЙ для конфигурации на базе «1С:Предприятия 7.7» </v>
      </c>
      <c r="F549" s="5">
        <f ca="1">IFERROR(__xludf.DUMMYFUNCTION("""COMPUTED_VALUE"""),5229)</f>
        <v>5229</v>
      </c>
    </row>
    <row r="550" spans="1:6" ht="44.25" customHeight="1" x14ac:dyDescent="0.2">
      <c r="A550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0" s="4" t="str">
        <f ca="1">IFERROR(__xludf.DUMMYFUNCTION("""COMPUTED_VALUE"""),"с МДЛП, РАСШИРЕННЫЙ")</f>
        <v>с МДЛП, РАСШИРЕННЫЙ</v>
      </c>
      <c r="C550" s="4" t="str">
        <f ca="1">IFERROR(__xludf.DUMMYFUNCTION("""COMPUTED_VALUE"""),"UP2-RTL15BL-1C77")</f>
        <v>UP2-RTL15BL-1C77</v>
      </c>
      <c r="D550" s="4" t="str">
        <f ca="1">IFERROR(__xludf.DUMMYFUNCTION("""COMPUTED_VALUE"""),"Переход на Mobile SMARTS: Магазин 15 с МДЛП,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н"&amp;"а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по"&amp;"дписка на обновления на 1 (один) год")</f>
        <v>Переход на Mobile SMARTS: Магазин 15 с МДЛП,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50" s="4" t="str">
        <f ca="1">IFERROR(__xludf.DUMMYFUNCTION("""COMPUTED_VALUE"""),"Переход на Mobile SMARTS: Магазин 15 с МДЛП, РАСШИРЕННЫЙ для конфигурации на базе «1С:Предприятия 7.7» ")</f>
        <v xml:space="preserve">Переход на Mobile SMARTS: Магазин 15 с МДЛП, РАСШИРЕННЫЙ для конфигурации на базе «1С:Предприятия 7.7» </v>
      </c>
      <c r="F550" s="5">
        <f ca="1">IFERROR(__xludf.DUMMYFUNCTION("""COMPUTED_VALUE"""),7689)</f>
        <v>7689</v>
      </c>
    </row>
    <row r="551" spans="1:6" ht="44.25" customHeight="1" x14ac:dyDescent="0.2">
      <c r="A551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1" s="4" t="str">
        <f ca="1">IFERROR(__xludf.DUMMYFUNCTION("""COMPUTED_VALUE"""),"с МДЛП, МЕГАМАРКЕТ")</f>
        <v>с МДЛП, МЕГАМАРКЕТ</v>
      </c>
      <c r="C551" s="4" t="str">
        <f ca="1">IFERROR(__xludf.DUMMYFUNCTION("""COMPUTED_VALUE"""),"UP2-RTL15CL-1C77")</f>
        <v>UP2-RTL15CL-1C77</v>
      </c>
      <c r="D551" s="4" t="str">
        <f ca="1">IFERROR(__xludf.DUMMYFUNCTION("""COMPUTED_VALUE"""),"Переход на Mobile SMARTS: Магазин 15 с МДЛП,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на"&amp;"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(одно)"&amp;" моб. устройство, подписка на обновления на 1 (один) год")</f>
        <v>Переход на Mobile SMARTS: Магазин 15 с МДЛП,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51" s="4" t="str">
        <f ca="1">IFERROR(__xludf.DUMMYFUNCTION("""COMPUTED_VALUE"""),"Переход на Mobile SMARTS: Магазин 15 с МДЛП, МЕГАМАРКЕТ для конфигурации на базе «1С:Предприятия 7.7» ")</f>
        <v xml:space="preserve">Переход на Mobile SMARTS: Магазин 15 с МДЛП, МЕГАМАРКЕТ для конфигурации на базе «1С:Предприятия 7.7» </v>
      </c>
      <c r="F551" s="5">
        <f ca="1">IFERROR(__xludf.DUMMYFUNCTION("""COMPUTED_VALUE"""),11349)</f>
        <v>11349</v>
      </c>
    </row>
    <row r="552" spans="1:6" ht="44.25" customHeight="1" x14ac:dyDescent="0.2">
      <c r="A552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2" s="4" t="str">
        <f ca="1">IFERROR(__xludf.DUMMYFUNCTION("""COMPUTED_VALUE"""),"ПРОДУКТОВЫЙ, БАЗОВЫЙ")</f>
        <v>ПРОДУКТОВЫЙ, БАЗОВЫЙ</v>
      </c>
      <c r="C552" s="4" t="str">
        <f ca="1">IFERROR(__xludf.DUMMYFUNCTION("""COMPUTED_VALUE"""),"UP2-RTL15AG-1C77")</f>
        <v>UP2-RTL15AG-1C77</v>
      </c>
      <c r="D552" s="4" t="str">
        <f ca="1">IFERROR(__xludf.DUMMYFUNCTION("""COMPUTED_VALUE"""),"Переход на Mobile SMARTS: Магазин 15 ПРОДУКТОВЫЙ,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ОДЕЖД"&amp;"А,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переоценк"&amp;"а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инфор"&amp;"мация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52" s="4" t="str">
        <f ca="1">IFERROR(__xludf.DUMMYFUNCTION("""COMPUTED_VALUE"""),"Переход на Mobile SMARTS: Магазин 15 ПРОДУКТОВЫЙ, БАЗОВЫЙ для конфигурации на базе «1С:Предприятия 7.7» ")</f>
        <v xml:space="preserve">Переход на Mobile SMARTS: Магазин 15 ПРОДУКТОВЫЙ, БАЗОВЫЙ для конфигурации на базе «1С:Предприятия 7.7» </v>
      </c>
      <c r="F552" s="5">
        <f ca="1">IFERROR(__xludf.DUMMYFUNCTION("""COMPUTED_VALUE"""),6579)</f>
        <v>6579</v>
      </c>
    </row>
    <row r="553" spans="1:6" ht="44.25" customHeight="1" x14ac:dyDescent="0.2">
      <c r="A553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3" s="4" t="str">
        <f ca="1">IFERROR(__xludf.DUMMYFUNCTION("""COMPUTED_VALUE"""),"ПРОДУКТОВЫЙ, РАСШИРЕННЫЙ")</f>
        <v>ПРОДУКТОВЫЙ, РАСШИРЕННЫЙ</v>
      </c>
      <c r="C553" s="4" t="str">
        <f ca="1">IFERROR(__xludf.DUMMYFUNCTION("""COMPUTED_VALUE"""),"UP2-RTL15BG-1C77")</f>
        <v>UP2-RTL15BG-1C77</v>
      </c>
      <c r="D553" s="4" t="str">
        <f ca="1">IFERROR(__xludf.DUMMYFUNCTION("""COMPUTED_VALUE"""),"Переход на Mobile SMARTS: Магазин 15 ПРОДУКТОВЫЙ,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О"&amp;"ДЕЖДА,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перео"&amp;"ценка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и"&amp;"нформация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53" s="4" t="str">
        <f ca="1">IFERROR(__xludf.DUMMYFUNCTION("""COMPUTED_VALUE"""),"Переход на Mobile SMARTS: Магазин 15 ПРОДУКТОВЫЙ, РАСШИРЕННЫЙ для конфигурации на базе «1С:Предприятия 7.7» ")</f>
        <v xml:space="preserve">Переход на Mobile SMARTS: Магазин 15 ПРОДУКТОВЫЙ, РАСШИРЕННЫЙ для конфигурации на базе «1С:Предприятия 7.7» </v>
      </c>
      <c r="F553" s="5">
        <f ca="1">IFERROR(__xludf.DUMMYFUNCTION("""COMPUTED_VALUE"""),9039)</f>
        <v>9039</v>
      </c>
    </row>
    <row r="554" spans="1:6" ht="44.25" customHeight="1" x14ac:dyDescent="0.2">
      <c r="A554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4" s="4" t="str">
        <f ca="1">IFERROR(__xludf.DUMMYFUNCTION("""COMPUTED_VALUE"""),"ПРОДУКТОВЫЙ, МЕГАМАРКЕТ")</f>
        <v>ПРОДУКТОВЫЙ, МЕГАМАРКЕТ</v>
      </c>
      <c r="C554" s="4" t="str">
        <f ca="1">IFERROR(__xludf.DUMMYFUNCTION("""COMPUTED_VALUE"""),"UP2-RTL15CG-1C77")</f>
        <v>UP2-RTL15CG-1C77</v>
      </c>
      <c r="D554" s="4" t="str">
        <f ca="1">IFERROR(__xludf.DUMMYFUNCTION("""COMPUTED_VALUE"""),"Переход на Mobile SMARTS: Магазин 15 ПРОДУКТОВЫЙ,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ОД"&amp;"ЕЖДА,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переоц"&amp;"енка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ко"&amp;"ллективная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54" s="4" t="str">
        <f ca="1">IFERROR(__xludf.DUMMYFUNCTION("""COMPUTED_VALUE"""),"Переход на Mobile SMARTS: Магазин 15 ПРОДУКТОВЫЙ, МЕГАМАРКЕТ для конфигурации на базе «1С:Предприятия 7.7» ")</f>
        <v xml:space="preserve">Переход на Mobile SMARTS: Магазин 15 ПРОДУКТОВЫЙ, МЕГАМАРКЕТ для конфигурации на базе «1С:Предприятия 7.7» </v>
      </c>
      <c r="F554" s="5">
        <f ca="1">IFERROR(__xludf.DUMMYFUNCTION("""COMPUTED_VALUE"""),15084.5)</f>
        <v>15084.5</v>
      </c>
    </row>
    <row r="555" spans="1:6" ht="44.25" customHeight="1" x14ac:dyDescent="0.2">
      <c r="A555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5" s="4" t="str">
        <f ca="1">IFERROR(__xludf.DUMMYFUNCTION("""COMPUTED_VALUE"""),"ПРОДУКТОВЫЙ без ЕГАИС, БАЗОВЫЙ")</f>
        <v>ПРОДУКТОВЫЙ без ЕГАИС, БАЗОВЫЙ</v>
      </c>
      <c r="C555" s="4" t="str">
        <f ca="1">IFERROR(__xludf.DUMMYFUNCTION("""COMPUTED_VALUE"""),"UP2-RTL15AGNE-1C77")</f>
        <v>UP2-RTL15AGNE-1C77</v>
      </c>
      <c r="D555" s="4" t="str">
        <f ca="1">IFERROR(__xludf.DUMMYFUNCTION("""COMPUTED_VALUE"""),"Переход на Mobile SMARTS: Магазин 15 ПРОДУКТОВЫЙ без ЕГАИС,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ОДЕЖД"&amp;"А, ОБУВЬ, ДУХИ, ШИНЫ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ПРОДУКТОВЫЙ без ЕГАИС,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ДУХИ, ШИНЫ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55" s="4" t="str">
        <f ca="1">IFERROR(__xludf.DUMMYFUNCTION("""COMPUTED_VALUE"""),"Переход на Mobile SMARTS: Магазин 15 ПРОДУКТОВЫЙ без ЕГАИС, БАЗОВЫЙ для конфигурации на базе «1С:Предприятия 7.7» ")</f>
        <v xml:space="preserve">Переход на Mobile SMARTS: Магазин 15 ПРОДУКТОВЫЙ без ЕГАИС, БАЗОВЫЙ для конфигурации на базе «1С:Предприятия 7.7» </v>
      </c>
      <c r="F555" s="5">
        <f ca="1">IFERROR(__xludf.DUMMYFUNCTION("""COMPUTED_VALUE"""),5679)</f>
        <v>5679</v>
      </c>
    </row>
    <row r="556" spans="1:6" ht="44.25" customHeight="1" x14ac:dyDescent="0.2">
      <c r="A556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6" s="4" t="str">
        <f ca="1">IFERROR(__xludf.DUMMYFUNCTION("""COMPUTED_VALUE"""),"ПРОДУКТОВЫЙ без ЕГАИС, РАСШИРЕННЫЙ")</f>
        <v>ПРОДУКТОВЫЙ без ЕГАИС, РАСШИРЕННЫЙ</v>
      </c>
      <c r="C556" s="4" t="str">
        <f ca="1">IFERROR(__xludf.DUMMYFUNCTION("""COMPUTED_VALUE"""),"UP2-RTL15BGNE-1C77")</f>
        <v>UP2-RTL15BGNE-1C77</v>
      </c>
      <c r="D556" s="4" t="str">
        <f ca="1">IFERROR(__xludf.DUMMYFUNCTION("""COMPUTED_VALUE"""),"Переход на Mobile SMARTS: Магазин 15 ПРОДУКТОВЫЙ без ЕГАИС,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О"&amp;"ДЕЖДА,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подбор"&amp;"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"&amp;"изменение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ПРОДУКТОВЫЙ без ЕГАИС,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56" s="4" t="str">
        <f ca="1">IFERROR(__xludf.DUMMYFUNCTION("""COMPUTED_VALUE"""),"Переход на Mobile SMARTS: Магазин 15 ПРОДУКТОВЫЙ без ЕГАИС, РАСШИРЕННЫЙ для конфигурации на базе «1С:Предприятия 7.7» ")</f>
        <v xml:space="preserve">Переход на Mobile SMARTS: Магазин 15 ПРОДУКТОВЫЙ без ЕГАИС, РАСШИРЕННЫЙ для конфигурации на базе «1С:Предприятия 7.7» </v>
      </c>
      <c r="F556" s="4" t="str">
        <f ca="1">IFERROR(__xludf.DUMMYFUNCTION("""COMPUTED_VALUE"""),"#N/A")</f>
        <v>#N/A</v>
      </c>
    </row>
    <row r="557" spans="1:6" ht="44.25" customHeight="1" x14ac:dyDescent="0.2">
      <c r="A557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7" s="4" t="str">
        <f ca="1">IFERROR(__xludf.DUMMYFUNCTION("""COMPUTED_VALUE"""),"ПРОДУКТОВЫЙ без ЕГАИС, МЕГАМАРКЕТ")</f>
        <v>ПРОДУКТОВЫЙ без ЕГАИС, МЕГАМАРКЕТ</v>
      </c>
      <c r="C557" s="4" t="str">
        <f ca="1">IFERROR(__xludf.DUMMYFUNCTION("""COMPUTED_VALUE"""),"UP2-RTL15CGNE-1C77")</f>
        <v>UP2-RTL15CGNE-1C77</v>
      </c>
      <c r="D557" s="4" t="str">
        <f ca="1">IFERROR(__xludf.DUMMYFUNCTION("""COMPUTED_VALUE"""),"Переход на Mobile SMARTS: Магазин 15 ПРОДУКТОВЫЙ без ЕГАИС,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ОД"&amp;"ЕЖДА,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"&amp;"заказа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"&amp;"и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ПРОДУКТОВЫЙ без ЕГАИС,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57" s="4" t="str">
        <f ca="1">IFERROR(__xludf.DUMMYFUNCTION("""COMPUTED_VALUE"""),"Переход на Mobile SMARTS: Магазин 15 ПРОДУКТОВЫЙ без ЕГАИС, МЕГАМАРКЕТ для конфигурации на базе «1С:Предприятия 7.7» ")</f>
        <v xml:space="preserve">Переход на Mobile SMARTS: Магазин 15 ПРОДУКТОВЫЙ без ЕГАИС, МЕГАМАРКЕТ для конфигурации на базе «1С:Предприятия 7.7» </v>
      </c>
      <c r="F557" s="4" t="str">
        <f ca="1">IFERROR(__xludf.DUMMYFUNCTION("""COMPUTED_VALUE"""),"#N/A")</f>
        <v>#N/A</v>
      </c>
    </row>
    <row r="558" spans="1:6" ht="44.25" customHeight="1" x14ac:dyDescent="0.2">
      <c r="A558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58" s="4" t="str">
        <f ca="1">IFERROR(__xludf.DUMMYFUNCTION("""COMPUTED_VALUE"""),"МИНИМУМ")</f>
        <v>МИНИМУМ</v>
      </c>
      <c r="C558" s="4" t="str">
        <f ca="1">IFERROR(__xludf.DUMMYFUNCTION("""COMPUTED_VALUE"""),"UP2-RTL15M-1C81")</f>
        <v>UP2-RTL15M-1C81</v>
      </c>
      <c r="D558" s="4" t="str">
        <f ca="1">IFERROR(__xludf.DUMMYFUNCTION("""COMPUTED_VALUE"""),"Переход на 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Интер"&amp;"нет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лице"&amp;"нзия на 1 (одно) моб. устройство, подписка на обновления и обмен через Интернет на 1 (один) год")</f>
        <v>Переход на 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58" s="4" t="str">
        <f ca="1">IFERROR(__xludf.DUMMYFUNCTION("""COMPUTED_VALUE"""),"Переход на 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</v>
      </c>
      <c r="F558" s="5">
        <f ca="1">IFERROR(__xludf.DUMMYFUNCTION("""COMPUTED_VALUE"""),2725)</f>
        <v>2725</v>
      </c>
    </row>
    <row r="559" spans="1:6" ht="44.25" customHeight="1" x14ac:dyDescent="0.2">
      <c r="A559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59" s="4" t="str">
        <f ca="1">IFERROR(__xludf.DUMMYFUNCTION("""COMPUTED_VALUE"""),"БАЗОВЫЙ")</f>
        <v>БАЗОВЫЙ</v>
      </c>
      <c r="C559" s="4" t="str">
        <f ca="1">IFERROR(__xludf.DUMMYFUNCTION("""COMPUTED_VALUE"""),"UP2-RTL15A-1C81")</f>
        <v>UP2-RTL15A-1C81</v>
      </c>
      <c r="D559" s="4" t="str">
        <f ca="1">IFERROR(__xludf.DUMMYFUNCTION("""COMPUTED_VALUE"""),"Переход на 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Интер"&amp;"нет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59" s="4" t="str">
        <f ca="1">IFERROR(__xludf.DUMMYFUNCTION("""COMPUTED_VALUE"""),"Переход на 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</v>
      </c>
      <c r="F559" s="5">
        <f ca="1">IFERROR(__xludf.DUMMYFUNCTION("""COMPUTED_VALUE"""),5325)</f>
        <v>5325</v>
      </c>
    </row>
    <row r="560" spans="1:6" ht="44.25" customHeight="1" x14ac:dyDescent="0.2">
      <c r="A560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0" s="4" t="str">
        <f ca="1">IFERROR(__xludf.DUMMYFUNCTION("""COMPUTED_VALUE"""),"РАСШИРЕННЫЙ")</f>
        <v>РАСШИРЕННЫЙ</v>
      </c>
      <c r="C560" s="4" t="str">
        <f ca="1">IFERROR(__xludf.DUMMYFUNCTION("""COMPUTED_VALUE"""),"UP2-RTL15B-1C81")</f>
        <v>UP2-RTL15B-1C81</v>
      </c>
      <c r="D560" s="4" t="str">
        <f ca="1">IFERROR(__xludf.DUMMYFUNCTION("""COMPUTED_VALUE"""),"Переход на 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И"&amp;"нтернет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0" s="4" t="str">
        <f ca="1">IFERROR(__xludf.DUMMYFUNCTION("""COMPUTED_VALUE"""),"Переход на 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</v>
      </c>
      <c r="F560" s="5">
        <f ca="1">IFERROR(__xludf.DUMMYFUNCTION("""COMPUTED_VALUE"""),8525)</f>
        <v>8525</v>
      </c>
    </row>
    <row r="561" spans="1:6" ht="44.25" customHeight="1" x14ac:dyDescent="0.2">
      <c r="A561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1" s="4" t="str">
        <f ca="1">IFERROR(__xludf.DUMMYFUNCTION("""COMPUTED_VALUE"""),"МЕГАМАРКЕТ")</f>
        <v>МЕГАМАРКЕТ</v>
      </c>
      <c r="C561" s="4" t="str">
        <f ca="1">IFERROR(__xludf.DUMMYFUNCTION("""COMPUTED_VALUE"""),"UP2-RTL15C-1C81")</f>
        <v>UP2-RTL15C-1C81</v>
      </c>
      <c r="D561" s="4" t="str">
        <f ca="1">IFERROR(__xludf.DUMMYFUNCTION("""COMPUTED_VALUE"""),"Переход на 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Ин"&amp;"тернет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"&amp;"коллективная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Переход на 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1" s="4" t="str">
        <f ca="1">IFERROR(__xludf.DUMMYFUNCTION("""COMPUTED_VALUE"""),"Переход на 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</v>
      </c>
      <c r="F561" s="5">
        <f ca="1">IFERROR(__xludf.DUMMYFUNCTION("""COMPUTED_VALUE"""),11775)</f>
        <v>11775</v>
      </c>
    </row>
    <row r="562" spans="1:6" ht="44.25" customHeight="1" x14ac:dyDescent="0.2">
      <c r="A562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2" s="4" t="str">
        <f ca="1">IFERROR(__xludf.DUMMYFUNCTION("""COMPUTED_VALUE"""),"с ЕГАИС, БАЗОВЫЙ")</f>
        <v>с ЕГАИС, БАЗОВЫЙ</v>
      </c>
      <c r="C562" s="4" t="str">
        <f ca="1">IFERROR(__xludf.DUMMYFUNCTION("""COMPUTED_VALUE"""),"UP2-RTL15AE-1C81")</f>
        <v>UP2-RTL15AE-1C81</v>
      </c>
      <c r="D562" s="4" t="str">
        <f ca="1">IFERROR(__xludf.DUMMYFUNCTION("""COMPUTED_VALUE"""),"Переход на 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выбо"&amp;"р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про"&amp;"смотр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м"&amp;"об. устройство, подписка на обновления и обмен через Интернет на 1 (один) год")</f>
        <v>Переход на 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62" s="4" t="str">
        <f ca="1">IFERROR(__xludf.DUMMYFUNCTION("""COMPUTED_VALUE"""),"Переход на 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62" s="5">
        <f ca="1">IFERROR(__xludf.DUMMYFUNCTION("""COMPUTED_VALUE"""),6500)</f>
        <v>6500</v>
      </c>
    </row>
    <row r="563" spans="1:6" ht="44.25" customHeight="1" x14ac:dyDescent="0.2">
      <c r="A563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3" s="4" t="str">
        <f ca="1">IFERROR(__xludf.DUMMYFUNCTION("""COMPUTED_VALUE"""),"с ЕГАИС, РАСШИРЕННЫЙ")</f>
        <v>с ЕГАИС, РАСШИРЕННЫЙ</v>
      </c>
      <c r="C563" s="4" t="str">
        <f ca="1">IFERROR(__xludf.DUMMYFUNCTION("""COMPUTED_VALUE"""),"UP2-RTL15BE-1C81")</f>
        <v>UP2-RTL15BE-1C81</v>
      </c>
      <c r="D563" s="4" t="str">
        <f ca="1">IFERROR(__xludf.DUMMYFUNCTION("""COMPUTED_VALUE"""),"Переход на 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"&amp;"выбор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штрихкодов,"&amp;"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Переход на 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3" s="4" t="str">
        <f ca="1">IFERROR(__xludf.DUMMYFUNCTION("""COMPUTED_VALUE"""),"Переход на 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63" s="5">
        <f ca="1">IFERROR(__xludf.DUMMYFUNCTION("""COMPUTED_VALUE"""),9725)</f>
        <v>9725</v>
      </c>
    </row>
    <row r="564" spans="1:6" ht="44.25" customHeight="1" x14ac:dyDescent="0.2">
      <c r="A564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4" s="4" t="str">
        <f ca="1">IFERROR(__xludf.DUMMYFUNCTION("""COMPUTED_VALUE"""),"с ЕГАИС (без CheckMark2), МЕГАМАРКЕТ")</f>
        <v>с ЕГАИС (без CheckMark2), МЕГАМАРКЕТ</v>
      </c>
      <c r="C564" s="4" t="str">
        <f ca="1">IFERROR(__xludf.DUMMYFUNCTION("""COMPUTED_VALUE"""),"UP2-RTL15CEV-1C81")</f>
        <v>UP2-RTL15CEV-1C81</v>
      </c>
      <c r="D564" s="4" t="str">
        <f ca="1">IFERROR(__xludf.DUMMYFUNCTION("""COMPUTED_VALUE"""),"Переход на 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"&amp;"штрихкодам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"&amp;"сбор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свои"&amp;"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4" s="4" t="str">
        <f ca="1">IFERROR(__xludf.DUMMYFUNCTION("""COMPUTED_VALUE"""),"Переход на 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"&amp;"штрихкодам ")</f>
        <v xml:space="preserve">Переход на 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64" s="5">
        <f ca="1">IFERROR(__xludf.DUMMYFUNCTION("""COMPUTED_VALUE"""),12925)</f>
        <v>12925</v>
      </c>
    </row>
    <row r="565" spans="1:6" ht="44.25" customHeight="1" x14ac:dyDescent="0.2">
      <c r="A565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5" s="4" t="str">
        <f ca="1">IFERROR(__xludf.DUMMYFUNCTION("""COMPUTED_VALUE"""),"с МОТП, БАЗОВЫЙ")</f>
        <v>с МОТП, БАЗОВЫЙ</v>
      </c>
      <c r="C565" s="4" t="str">
        <f ca="1">IFERROR(__xludf.DUMMYFUNCTION("""COMPUTED_VALUE"""),"UP2-RTL15AT-1C81")</f>
        <v>UP2-RTL15AT-1C81</v>
      </c>
      <c r="D565" s="4" t="str">
        <f ca="1">IFERROR(__xludf.DUMMYFUNCTION("""COMPUTED_VALUE"""),"Переход на 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проводно"&amp;"й,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"&amp;"моб. устройство, подписка на обновления и обмен через Интернет на 1 (один) год")</f>
        <v>Переход на 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5" s="4" t="str">
        <f ca="1">IFERROR(__xludf.DUMMYFUNCTION("""COMPUTED_VALUE"""),"Переход на 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65" s="5">
        <f ca="1">IFERROR(__xludf.DUMMYFUNCTION("""COMPUTED_VALUE"""),6575)</f>
        <v>6575</v>
      </c>
    </row>
    <row r="566" spans="1:6" ht="44.25" customHeight="1" x14ac:dyDescent="0.2">
      <c r="A566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6" s="4" t="str">
        <f ca="1">IFERROR(__xludf.DUMMYFUNCTION("""COMPUTED_VALUE"""),"с МОТП, РАСШИРЕННЫЙ")</f>
        <v>с МОТП, РАСШИРЕННЫЙ</v>
      </c>
      <c r="C566" s="4" t="str">
        <f ca="1">IFERROR(__xludf.DUMMYFUNCTION("""COMPUTED_VALUE"""),"UP2-RTL15BT-1C81")</f>
        <v>UP2-RTL15BT-1C81</v>
      </c>
      <c r="D566" s="4" t="str">
        <f ca="1">IFERROR(__xludf.DUMMYFUNCTION("""COMPUTED_VALUE"""),"Переход на 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пров"&amp;"одной,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(од"&amp;"но) моб. устройство, подписка на обновления и обмен через Интернет на 1 (один) год")</f>
        <v>Переход на 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6" s="4" t="str">
        <f ca="1">IFERROR(__xludf.DUMMYFUNCTION("""COMPUTED_VALUE"""),"Переход на 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66" s="5">
        <f ca="1">IFERROR(__xludf.DUMMYFUNCTION("""COMPUTED_VALUE"""),9725)</f>
        <v>9725</v>
      </c>
    </row>
    <row r="567" spans="1:6" ht="44.25" customHeight="1" x14ac:dyDescent="0.2">
      <c r="A567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7" s="4" t="str">
        <f ca="1">IFERROR(__xludf.DUMMYFUNCTION("""COMPUTED_VALUE"""),"с МОТП, МЕГАМАРКЕТ")</f>
        <v>с МОТП, МЕГАМАРКЕТ</v>
      </c>
      <c r="C567" s="4" t="str">
        <f ca="1">IFERROR(__xludf.DUMMYFUNCTION("""COMPUTED_VALUE"""),"UP2-RTL15CT-1C81")</f>
        <v>UP2-RTL15CT-1C81</v>
      </c>
      <c r="D567" s="4" t="str">
        <f ca="1">IFERROR(__xludf.DUMMYFUNCTION("""COMPUTED_VALUE"""),"Переход на 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прово"&amp;"дной,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бессрочн"&amp;"ая лицензия на 1 (одно) моб. устройство, подписка на обновления и обмен через Интернет на 1 (один) год")</f>
        <v>Переход на 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7" s="4" t="str">
        <f ca="1">IFERROR(__xludf.DUMMYFUNCTION("""COMPUTED_VALUE"""),"Переход на 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67" s="5">
        <f ca="1">IFERROR(__xludf.DUMMYFUNCTION("""COMPUTED_VALUE"""),12925)</f>
        <v>12925</v>
      </c>
    </row>
    <row r="568" spans="1:6" ht="44.25" customHeight="1" x14ac:dyDescent="0.2">
      <c r="A568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8" s="4" t="str">
        <f ca="1">IFERROR(__xludf.DUMMYFUNCTION("""COMPUTED_VALUE"""),"с ЕГАИС и МОТП, БАЗОВЫЙ")</f>
        <v>с ЕГАИС и МОТП, БАЗОВЫЙ</v>
      </c>
      <c r="C568" s="4" t="str">
        <f ca="1">IFERROR(__xludf.DUMMYFUNCTION("""COMPUTED_VALUE"""),"UP2-RTL15AET-1C81")</f>
        <v>UP2-RTL15AET-1C81</v>
      </c>
      <c r="D568" s="4" t="str">
        <f ca="1">IFERROR(__xludf.DUMMYFUNCTION("""COMPUTED_VALUE"""),"Переход на 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/"&amp;"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мобильный"&amp;"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8" s="4" t="str">
        <f ca="1">IFERROR(__xludf.DUMMYFUNCTION("""COMPUTED_VALUE"""),"Переход на 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68" s="5">
        <f ca="1">IFERROR(__xludf.DUMMYFUNCTION("""COMPUTED_VALUE"""),7075)</f>
        <v>7075</v>
      </c>
    </row>
    <row r="569" spans="1:6" ht="44.25" customHeight="1" x14ac:dyDescent="0.2">
      <c r="A569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9" s="4" t="str">
        <f ca="1">IFERROR(__xludf.DUMMYFUNCTION("""COMPUTED_VALUE"""),"с ЕГАИС и МОТП, РАСШИРЕННЫЙ")</f>
        <v>с ЕГАИС и МОТП, РАСШИРЕННЫЙ</v>
      </c>
      <c r="C569" s="4" t="str">
        <f ca="1">IFERROR(__xludf.DUMMYFUNCTION("""COMPUTED_VALUE"""),"UP2-RTL15BET-1C81")</f>
        <v>UP2-RTL15BET-1C81</v>
      </c>
      <c r="D569" s="4" t="str">
        <f ca="1">IFERROR(__xludf.DUMMYFUNCTION("""COMPUTED_VALUE"""),"Переход на 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штрихкод"&amp;"ам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мобил"&amp;"ьный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9" s="4" t="str">
        <f ca="1">IFERROR(__xludf.DUMMYFUNCTION("""COMPUTED_VALUE"""),"Переход на 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штрихкод"&amp;"ам ")</f>
        <v xml:space="preserve">Переход на 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69" s="5">
        <f ca="1">IFERROR(__xludf.DUMMYFUNCTION("""COMPUTED_VALUE"""),10275)</f>
        <v>10275</v>
      </c>
    </row>
    <row r="570" spans="1:6" ht="44.25" customHeight="1" x14ac:dyDescent="0.2">
      <c r="A570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0" s="4" t="str">
        <f ca="1">IFERROR(__xludf.DUMMYFUNCTION("""COMPUTED_VALUE"""),"с ЕГАИС и МОТП, МЕГАМАРКЕТ")</f>
        <v>с ЕГАИС и МОТП, МЕГАМАРКЕТ</v>
      </c>
      <c r="C570" s="4" t="str">
        <f ca="1">IFERROR(__xludf.DUMMYFUNCTION("""COMPUTED_VALUE"""),"UP2-RTL15CET-1C81")</f>
        <v>UP2-RTL15CET-1C81</v>
      </c>
      <c r="D570" s="4" t="str">
        <f ca="1">IFERROR(__xludf.DUMMYFUNCTION("""COMPUTED_VALUE"""),"Переход на 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штрихкода"&amp;"м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мобиль"&amp;"ный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ра"&amp;"бота,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(оди"&amp;"н) год")</f>
        <v>Переход на 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0" s="4" t="str">
        <f ca="1">IFERROR(__xludf.DUMMYFUNCTION("""COMPUTED_VALUE"""),"Переход на 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штрихкода"&amp;"м ")</f>
        <v xml:space="preserve">Переход на 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70" s="5">
        <f ca="1">IFERROR(__xludf.DUMMYFUNCTION("""COMPUTED_VALUE"""),14175)</f>
        <v>14175</v>
      </c>
    </row>
    <row r="571" spans="1:6" ht="44.25" customHeight="1" x14ac:dyDescent="0.2">
      <c r="A571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1" s="4" t="str">
        <f ca="1">IFERROR(__xludf.DUMMYFUNCTION("""COMPUTED_VALUE"""),"ШМОТКИ, БАЗОВЫЙ")</f>
        <v>ШМОТКИ, БАЗОВЫЙ</v>
      </c>
      <c r="C571" s="4" t="str">
        <f ca="1">IFERROR(__xludf.DUMMYFUNCTION("""COMPUTED_VALUE"""),"UP2-RTL15AK-1C81")</f>
        <v>UP2-RTL15AK-1C81</v>
      </c>
      <c r="D571" s="4" t="str">
        <f ca="1">IFERROR(__xludf.DUMMYFUNCTION("""COMPUTED_VALUE"""),"Переход на 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штрихкод"&amp;"ам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бессрочная"&amp;" лицензия на 1 (одно) моб. устройство, подписка на обновления и обмен через Интернет на 1 (один) год")</f>
        <v>Переход на 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1" s="4" t="str">
        <f ca="1">IFERROR(__xludf.DUMMYFUNCTION("""COMPUTED_VALUE"""),"Переход на 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штрихкод"&amp;"ам ")</f>
        <v xml:space="preserve">Переход на 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71" s="5">
        <f ca="1">IFERROR(__xludf.DUMMYFUNCTION("""COMPUTED_VALUE"""),7075)</f>
        <v>7075</v>
      </c>
    </row>
    <row r="572" spans="1:6" ht="44.25" customHeight="1" x14ac:dyDescent="0.2">
      <c r="A572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2" s="4" t="str">
        <f ca="1">IFERROR(__xludf.DUMMYFUNCTION("""COMPUTED_VALUE"""),"ШМОТКИ, РАСШИРЕННЫЙ")</f>
        <v>ШМОТКИ, РАСШИРЕННЫЙ</v>
      </c>
      <c r="C572" s="4" t="str">
        <f ca="1">IFERROR(__xludf.DUMMYFUNCTION("""COMPUTED_VALUE"""),"UP2-RTL15BK-1C81")</f>
        <v>UP2-RTL15BK-1C81</v>
      </c>
      <c r="D572" s="4" t="str">
        <f ca="1">IFERROR(__xludf.DUMMYFUNCTION("""COMPUTED_VALUE"""),"Переход на 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штри"&amp;"хкодам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Переход на 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2" s="4" t="str">
        <f ca="1">IFERROR(__xludf.DUMMYFUNCTION("""COMPUTED_VALUE"""),"Переход на 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штри"&amp;"хкодам ")</f>
        <v xml:space="preserve">Переход на 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72" s="5">
        <f ca="1">IFERROR(__xludf.DUMMYFUNCTION("""COMPUTED_VALUE"""),10275)</f>
        <v>10275</v>
      </c>
    </row>
    <row r="573" spans="1:6" ht="44.25" customHeight="1" x14ac:dyDescent="0.2">
      <c r="A573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3" s="4" t="str">
        <f ca="1">IFERROR(__xludf.DUMMYFUNCTION("""COMPUTED_VALUE"""),"ШМОТКИ, МЕГАМАРКЕТ")</f>
        <v>ШМОТКИ, МЕГАМАРКЕТ</v>
      </c>
      <c r="C573" s="4" t="str">
        <f ca="1">IFERROR(__xludf.DUMMYFUNCTION("""COMPUTED_VALUE"""),"UP2-RTL15CK-1C81")</f>
        <v>UP2-RTL15CK-1C81</v>
      </c>
      <c r="D573" s="4" t="str">
        <f ca="1">IFERROR(__xludf.DUMMYFUNCTION("""COMPUTED_VALUE"""),"Переход на 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про"&amp;"водной,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Переход на 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3" s="4" t="str">
        <f ca="1">IFERROR(__xludf.DUMMYFUNCTION("""COMPUTED_VALUE"""),"Переход на 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")</f>
        <v xml:space="preserve">Переход на 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</v>
      </c>
      <c r="F573" s="5">
        <f ca="1">IFERROR(__xludf.DUMMYFUNCTION("""COMPUTED_VALUE"""),14175)</f>
        <v>14175</v>
      </c>
    </row>
    <row r="574" spans="1:6" ht="44.25" customHeight="1" x14ac:dyDescent="0.2">
      <c r="A574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4" s="4" t="str">
        <f ca="1">IFERROR(__xludf.DUMMYFUNCTION("""COMPUTED_VALUE"""),"с МДЛП, БАЗОВЫЙ")</f>
        <v>с МДЛП, БАЗОВЫЙ</v>
      </c>
      <c r="C574" s="4" t="str">
        <f ca="1">IFERROR(__xludf.DUMMYFUNCTION("""COMPUTED_VALUE"""),"UP2-RTL15AL-1C81")</f>
        <v>UP2-RTL15AL-1C81</v>
      </c>
      <c r="D574" s="4" t="str">
        <f ca="1">IFERROR(__xludf.DUMMYFUNCTION("""COMPUTED_VALUE"""),"Переход на Mobile SMARTS: Магазин 15 с МДЛП,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вы"&amp;"бор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штрих"&amp;"кодов,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подпис"&amp;"ка на обновления на 1 (один) год")</f>
        <v>Переход на Mobile SMARTS: Магазин 15 с МДЛП,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74" s="4" t="str">
        <f ca="1">IFERROR(__xludf.DUMMYFUNCTION("""COMPUTED_VALUE"""),"Переход на Mobile SMARTS: Магазин 15 с МДЛП, БАЗОВЫЙ для конфигурации на базе «1С:Предприятия 8.1» ")</f>
        <v xml:space="preserve">Переход на Mobile SMARTS: Магазин 15 с МДЛП, БАЗОВЫЙ для конфигурации на базе «1С:Предприятия 8.1» </v>
      </c>
      <c r="F574" s="5">
        <f ca="1">IFERROR(__xludf.DUMMYFUNCTION("""COMPUTED_VALUE"""),5229)</f>
        <v>5229</v>
      </c>
    </row>
    <row r="575" spans="1:6" ht="44.25" customHeight="1" x14ac:dyDescent="0.2">
      <c r="A575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5" s="4" t="str">
        <f ca="1">IFERROR(__xludf.DUMMYFUNCTION("""COMPUTED_VALUE"""),"с МДЛП, РАСШИРЕННЫЙ")</f>
        <v>с МДЛП, РАСШИРЕННЫЙ</v>
      </c>
      <c r="C575" s="4" t="str">
        <f ca="1">IFERROR(__xludf.DUMMYFUNCTION("""COMPUTED_VALUE"""),"UP2-RTL15BL-1C81")</f>
        <v>UP2-RTL15BL-1C81</v>
      </c>
      <c r="D575" s="4" t="str">
        <f ca="1">IFERROR(__xludf.DUMMYFUNCTION("""COMPUTED_VALUE"""),"Переход на Mobile SMARTS: Магазин 15 с МДЛП,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н"&amp;"а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по"&amp;"дписка на обновления на 1 (один) год")</f>
        <v>Переход на Mobile SMARTS: Магазин 15 с МДЛП,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75" s="4" t="str">
        <f ca="1">IFERROR(__xludf.DUMMYFUNCTION("""COMPUTED_VALUE"""),"Переход на Mobile SMARTS: Магазин 15 с МДЛП, РАСШИРЕННЫЙ для конфигурации на базе «1С:Предприятия 8.1» ")</f>
        <v xml:space="preserve">Переход на Mobile SMARTS: Магазин 15 с МДЛП, РАСШИРЕННЫЙ для конфигурации на базе «1С:Предприятия 8.1» </v>
      </c>
      <c r="F575" s="5">
        <f ca="1">IFERROR(__xludf.DUMMYFUNCTION("""COMPUTED_VALUE"""),7689)</f>
        <v>7689</v>
      </c>
    </row>
    <row r="576" spans="1:6" ht="44.25" customHeight="1" x14ac:dyDescent="0.2">
      <c r="A576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6" s="4" t="str">
        <f ca="1">IFERROR(__xludf.DUMMYFUNCTION("""COMPUTED_VALUE"""),"с МДЛП, МЕГАМАРКЕТ")</f>
        <v>с МДЛП, МЕГАМАРКЕТ</v>
      </c>
      <c r="C576" s="4" t="str">
        <f ca="1">IFERROR(__xludf.DUMMYFUNCTION("""COMPUTED_VALUE"""),"UP2-RTL15CL-1C81")</f>
        <v>UP2-RTL15CL-1C81</v>
      </c>
      <c r="D576" s="4" t="str">
        <f ca="1">IFERROR(__xludf.DUMMYFUNCTION("""COMPUTED_VALUE"""),"Переход на Mobile SMARTS: Магазин 15 с МДЛП,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на"&amp;"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(одно)"&amp;" моб. устройство, подписка на обновления на 1 (один) год")</f>
        <v>Переход на Mobile SMARTS: Магазин 15 с МДЛП,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76" s="4" t="str">
        <f ca="1">IFERROR(__xludf.DUMMYFUNCTION("""COMPUTED_VALUE"""),"Переход на Mobile SMARTS: Магазин 15 с МДЛП, МЕГАМАРКЕТ для конфигурации на базе «1С:Предприятия 8.1» ")</f>
        <v xml:space="preserve">Переход на Mobile SMARTS: Магазин 15 с МДЛП, МЕГАМАРКЕТ для конфигурации на базе «1С:Предприятия 8.1» </v>
      </c>
      <c r="F576" s="5">
        <f ca="1">IFERROR(__xludf.DUMMYFUNCTION("""COMPUTED_VALUE"""),11349)</f>
        <v>11349</v>
      </c>
    </row>
    <row r="577" spans="1:6" ht="44.25" customHeight="1" x14ac:dyDescent="0.2">
      <c r="A577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7" s="4" t="str">
        <f ca="1">IFERROR(__xludf.DUMMYFUNCTION("""COMPUTED_VALUE"""),"ПРОДУКТОВЫЙ, БАЗОВЫЙ")</f>
        <v>ПРОДУКТОВЫЙ, БАЗОВЫЙ</v>
      </c>
      <c r="C577" s="4" t="str">
        <f ca="1">IFERROR(__xludf.DUMMYFUNCTION("""COMPUTED_VALUE"""),"UP2-RTL15AG-1C81")</f>
        <v>UP2-RTL15AG-1C81</v>
      </c>
      <c r="D577" s="4" t="str">
        <f ca="1">IFERROR(__xludf.DUMMYFUNCTION("""COMPUTED_VALUE"""),"Переход на Mobile SMARTS: Магазин 15 ПРОДУКТОВЫЙ,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ОДЕЖД"&amp;"А,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переоценк"&amp;"а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инфор"&amp;"мация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77" s="4" t="str">
        <f ca="1">IFERROR(__xludf.DUMMYFUNCTION("""COMPUTED_VALUE"""),"Переход на Mobile SMARTS: Магазин 15 ПРОДУКТОВЫЙ, БАЗОВЫЙ для конфигурации на базе «1С:Предприятия 8.1» ")</f>
        <v xml:space="preserve">Переход на Mobile SMARTS: Магазин 15 ПРОДУКТОВЫЙ, БАЗОВЫЙ для конфигурации на базе «1С:Предприятия 8.1» </v>
      </c>
      <c r="F577" s="5">
        <f ca="1">IFERROR(__xludf.DUMMYFUNCTION("""COMPUTED_VALUE"""),6579)</f>
        <v>6579</v>
      </c>
    </row>
    <row r="578" spans="1:6" ht="44.25" customHeight="1" x14ac:dyDescent="0.2">
      <c r="A578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8" s="4" t="str">
        <f ca="1">IFERROR(__xludf.DUMMYFUNCTION("""COMPUTED_VALUE"""),"ПРОДУКТОВЫЙ, РАСШИРЕННЫЙ")</f>
        <v>ПРОДУКТОВЫЙ, РАСШИРЕННЫЙ</v>
      </c>
      <c r="C578" s="4" t="str">
        <f ca="1">IFERROR(__xludf.DUMMYFUNCTION("""COMPUTED_VALUE"""),"UP2-RTL15BG-1C81")</f>
        <v>UP2-RTL15BG-1C81</v>
      </c>
      <c r="D578" s="4" t="str">
        <f ca="1">IFERROR(__xludf.DUMMYFUNCTION("""COMPUTED_VALUE"""),"Переход на Mobile SMARTS: Магазин 15 ПРОДУКТОВЫЙ,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О"&amp;"ДЕЖДА,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перео"&amp;"ценка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и"&amp;"нформация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78" s="4" t="str">
        <f ca="1">IFERROR(__xludf.DUMMYFUNCTION("""COMPUTED_VALUE"""),"Переход на Mobile SMARTS: Магазин 15 ПРОДУКТОВЫЙ, РАСШИРЕННЫЙ для конфигурации на базе «1С:Предприятия 8.1» ")</f>
        <v xml:space="preserve">Переход на Mobile SMARTS: Магазин 15 ПРОДУКТОВЫЙ, РАСШИРЕННЫЙ для конфигурации на базе «1С:Предприятия 8.1» </v>
      </c>
      <c r="F578" s="5">
        <f ca="1">IFERROR(__xludf.DUMMYFUNCTION("""COMPUTED_VALUE"""),9039)</f>
        <v>9039</v>
      </c>
    </row>
    <row r="579" spans="1:6" ht="44.25" customHeight="1" x14ac:dyDescent="0.2">
      <c r="A579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9" s="4" t="str">
        <f ca="1">IFERROR(__xludf.DUMMYFUNCTION("""COMPUTED_VALUE"""),"ПРОДУКТОВЫЙ, МЕГАМАРКЕТ")</f>
        <v>ПРОДУКТОВЫЙ, МЕГАМАРКЕТ</v>
      </c>
      <c r="C579" s="4" t="str">
        <f ca="1">IFERROR(__xludf.DUMMYFUNCTION("""COMPUTED_VALUE"""),"UP2-RTL15CG-1C81")</f>
        <v>UP2-RTL15CG-1C81</v>
      </c>
      <c r="D579" s="4" t="str">
        <f ca="1">IFERROR(__xludf.DUMMYFUNCTION("""COMPUTED_VALUE"""),"Переход на Mobile SMARTS: Магазин 15 ПРОДУКТОВЫЙ,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ОД"&amp;"ЕЖДА,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переоц"&amp;"енка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ко"&amp;"ллективная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79" s="4" t="str">
        <f ca="1">IFERROR(__xludf.DUMMYFUNCTION("""COMPUTED_VALUE"""),"Переход на Mobile SMARTS: Магазин 15 ПРОДУКТОВЫЙ, МЕГАМАРКЕТ для конфигурации на базе «1С:Предприятия 8.1» ")</f>
        <v xml:space="preserve">Переход на Mobile SMARTS: Магазин 15 ПРОДУКТОВЫЙ, МЕГАМАРКЕТ для конфигурации на базе «1С:Предприятия 8.1» </v>
      </c>
      <c r="F579" s="5">
        <f ca="1">IFERROR(__xludf.DUMMYFUNCTION("""COMPUTED_VALUE"""),15084.5)</f>
        <v>15084.5</v>
      </c>
    </row>
    <row r="580" spans="1:6" ht="44.25" customHeight="1" x14ac:dyDescent="0.2">
      <c r="A580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0" s="4" t="str">
        <f ca="1">IFERROR(__xludf.DUMMYFUNCTION("""COMPUTED_VALUE"""),"МИНИМУМ")</f>
        <v>МИНИМУМ</v>
      </c>
      <c r="C580" s="4" t="str">
        <f ca="1">IFERROR(__xludf.DUMMYFUNCTION("""COMPUTED_VALUE"""),"UP2-RTL15M-1C82")</f>
        <v>UP2-RTL15M-1C82</v>
      </c>
      <c r="D580" s="4" t="str">
        <f ca="1">IFERROR(__xludf.DUMMYFUNCTION("""COMPUTED_VALUE"""),"Переход на 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Интер"&amp;"нет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лице"&amp;"нзия на 1 (одно) моб. устройство, подписка на обновления и обмен через Интернет на 1 (один) год")</f>
        <v>Переход на 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80" s="4" t="str">
        <f ca="1">IFERROR(__xludf.DUMMYFUNCTION("""COMPUTED_VALUE"""),"Переход на 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</v>
      </c>
      <c r="F580" s="5">
        <f ca="1">IFERROR(__xludf.DUMMYFUNCTION("""COMPUTED_VALUE"""),2725)</f>
        <v>2725</v>
      </c>
    </row>
    <row r="581" spans="1:6" ht="44.25" customHeight="1" x14ac:dyDescent="0.2">
      <c r="A581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1" s="4" t="str">
        <f ca="1">IFERROR(__xludf.DUMMYFUNCTION("""COMPUTED_VALUE"""),"БАЗОВЫЙ")</f>
        <v>БАЗОВЫЙ</v>
      </c>
      <c r="C581" s="4" t="str">
        <f ca="1">IFERROR(__xludf.DUMMYFUNCTION("""COMPUTED_VALUE"""),"UP2-RTL15A-1C82")</f>
        <v>UP2-RTL15A-1C82</v>
      </c>
      <c r="D581" s="4" t="str">
        <f ca="1">IFERROR(__xludf.DUMMYFUNCTION("""COMPUTED_VALUE"""),"Переход на 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Интер"&amp;"нет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1" s="4" t="str">
        <f ca="1">IFERROR(__xludf.DUMMYFUNCTION("""COMPUTED_VALUE"""),"Переход на 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</v>
      </c>
      <c r="F581" s="5">
        <f ca="1">IFERROR(__xludf.DUMMYFUNCTION("""COMPUTED_VALUE"""),5325)</f>
        <v>5325</v>
      </c>
    </row>
    <row r="582" spans="1:6" ht="44.25" customHeight="1" x14ac:dyDescent="0.2">
      <c r="A582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2" s="4" t="str">
        <f ca="1">IFERROR(__xludf.DUMMYFUNCTION("""COMPUTED_VALUE"""),"РАСШИРЕННЫЙ")</f>
        <v>РАСШИРЕННЫЙ</v>
      </c>
      <c r="C582" s="4" t="str">
        <f ca="1">IFERROR(__xludf.DUMMYFUNCTION("""COMPUTED_VALUE"""),"UP2-RTL15B-1C82")</f>
        <v>UP2-RTL15B-1C82</v>
      </c>
      <c r="D582" s="4" t="str">
        <f ca="1">IFERROR(__xludf.DUMMYFUNCTION("""COMPUTED_VALUE"""),"Переход на 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И"&amp;"нтернет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2" s="4" t="str">
        <f ca="1">IFERROR(__xludf.DUMMYFUNCTION("""COMPUTED_VALUE"""),"Переход на 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</v>
      </c>
      <c r="F582" s="5">
        <f ca="1">IFERROR(__xludf.DUMMYFUNCTION("""COMPUTED_VALUE"""),8525)</f>
        <v>8525</v>
      </c>
    </row>
    <row r="583" spans="1:6" ht="44.25" customHeight="1" x14ac:dyDescent="0.2">
      <c r="A583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3" s="4" t="str">
        <f ca="1">IFERROR(__xludf.DUMMYFUNCTION("""COMPUTED_VALUE"""),"МЕГАМАРКЕТ")</f>
        <v>МЕГАМАРКЕТ</v>
      </c>
      <c r="C583" s="4" t="str">
        <f ca="1">IFERROR(__xludf.DUMMYFUNCTION("""COMPUTED_VALUE"""),"UP2-RTL15C-1C82")</f>
        <v>UP2-RTL15C-1C82</v>
      </c>
      <c r="D583" s="4" t="str">
        <f ca="1">IFERROR(__xludf.DUMMYFUNCTION("""COMPUTED_VALUE"""),"Переход на 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Ин"&amp;"тернет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"&amp;"коллективная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Переход на 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3" s="4" t="str">
        <f ca="1">IFERROR(__xludf.DUMMYFUNCTION("""COMPUTED_VALUE"""),"Переход на 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</v>
      </c>
      <c r="F583" s="5">
        <f ca="1">IFERROR(__xludf.DUMMYFUNCTION("""COMPUTED_VALUE"""),11775)</f>
        <v>11775</v>
      </c>
    </row>
    <row r="584" spans="1:6" ht="44.25" customHeight="1" x14ac:dyDescent="0.2">
      <c r="A584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4" s="4" t="str">
        <f ca="1">IFERROR(__xludf.DUMMYFUNCTION("""COMPUTED_VALUE"""),"с ЕГАИС, БАЗОВЫЙ")</f>
        <v>с ЕГАИС, БАЗОВЫЙ</v>
      </c>
      <c r="C584" s="4" t="str">
        <f ca="1">IFERROR(__xludf.DUMMYFUNCTION("""COMPUTED_VALUE"""),"UP2-RTL15AE-1C82")</f>
        <v>UP2-RTL15AE-1C82</v>
      </c>
      <c r="D584" s="4" t="str">
        <f ca="1">IFERROR(__xludf.DUMMYFUNCTION("""COMPUTED_VALUE"""),"Переход на 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выбо"&amp;"р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про"&amp;"смотр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м"&amp;"об. устройство, подписка на обновления и обмен через Интернет на 1 (один) год")</f>
        <v>Переход на 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84" s="4" t="str">
        <f ca="1">IFERROR(__xludf.DUMMYFUNCTION("""COMPUTED_VALUE"""),"Переход на 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84" s="5">
        <f ca="1">IFERROR(__xludf.DUMMYFUNCTION("""COMPUTED_VALUE"""),6500)</f>
        <v>6500</v>
      </c>
    </row>
    <row r="585" spans="1:6" ht="44.25" customHeight="1" x14ac:dyDescent="0.2">
      <c r="A585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5" s="4" t="str">
        <f ca="1">IFERROR(__xludf.DUMMYFUNCTION("""COMPUTED_VALUE"""),"с ЕГАИС, РАСШИРЕННЫЙ")</f>
        <v>с ЕГАИС, РАСШИРЕННЫЙ</v>
      </c>
      <c r="C585" s="4" t="str">
        <f ca="1">IFERROR(__xludf.DUMMYFUNCTION("""COMPUTED_VALUE"""),"UP2-RTL15BE-1C82")</f>
        <v>UP2-RTL15BE-1C82</v>
      </c>
      <c r="D585" s="4" t="str">
        <f ca="1">IFERROR(__xludf.DUMMYFUNCTION("""COMPUTED_VALUE"""),"Переход на 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"&amp;"выбор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штрихкодов,"&amp;"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Переход на 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5" s="4" t="str">
        <f ca="1">IFERROR(__xludf.DUMMYFUNCTION("""COMPUTED_VALUE"""),"Переход на 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85" s="5">
        <f ca="1">IFERROR(__xludf.DUMMYFUNCTION("""COMPUTED_VALUE"""),9725)</f>
        <v>9725</v>
      </c>
    </row>
    <row r="586" spans="1:6" ht="44.25" customHeight="1" x14ac:dyDescent="0.2">
      <c r="A586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6" s="4" t="str">
        <f ca="1">IFERROR(__xludf.DUMMYFUNCTION("""COMPUTED_VALUE"""),"с ЕГАИС (без CheckMark2), МЕГАМАРКЕТ")</f>
        <v>с ЕГАИС (без CheckMark2), МЕГАМАРКЕТ</v>
      </c>
      <c r="C586" s="4" t="str">
        <f ca="1">IFERROR(__xludf.DUMMYFUNCTION("""COMPUTED_VALUE"""),"UP2-RTL15CEV-1C82")</f>
        <v>UP2-RTL15CEV-1C82</v>
      </c>
      <c r="D586" s="4" t="str">
        <f ca="1">IFERROR(__xludf.DUMMYFUNCTION("""COMPUTED_VALUE"""),"Переход на 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"&amp;"штрихкодам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"&amp;"сбор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свои"&amp;"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6" s="4" t="str">
        <f ca="1">IFERROR(__xludf.DUMMYFUNCTION("""COMPUTED_VALUE"""),"Переход на 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"&amp;"штрихкодам ")</f>
        <v xml:space="preserve">Переход на 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586" s="5">
        <f ca="1">IFERROR(__xludf.DUMMYFUNCTION("""COMPUTED_VALUE"""),12925)</f>
        <v>12925</v>
      </c>
    </row>
    <row r="587" spans="1:6" ht="44.25" customHeight="1" x14ac:dyDescent="0.2">
      <c r="A587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7" s="4" t="str">
        <f ca="1">IFERROR(__xludf.DUMMYFUNCTION("""COMPUTED_VALUE"""),"с МОТП, БАЗОВЫЙ")</f>
        <v>с МОТП, БАЗОВЫЙ</v>
      </c>
      <c r="C587" s="4" t="str">
        <f ca="1">IFERROR(__xludf.DUMMYFUNCTION("""COMPUTED_VALUE"""),"UP2-RTL15AT-1C82")</f>
        <v>UP2-RTL15AT-1C82</v>
      </c>
      <c r="D587" s="4" t="str">
        <f ca="1">IFERROR(__xludf.DUMMYFUNCTION("""COMPUTED_VALUE"""),"Переход на 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проводно"&amp;"й,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"&amp;"моб. устройство, подписка на обновления и обмен через Интернет на 1 (один) год")</f>
        <v>Переход на 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7" s="4" t="str">
        <f ca="1">IFERROR(__xludf.DUMMYFUNCTION("""COMPUTED_VALUE"""),"Переход на 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87" s="5">
        <f ca="1">IFERROR(__xludf.DUMMYFUNCTION("""COMPUTED_VALUE"""),6575)</f>
        <v>6575</v>
      </c>
    </row>
    <row r="588" spans="1:6" ht="44.25" customHeight="1" x14ac:dyDescent="0.2">
      <c r="A588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8" s="4" t="str">
        <f ca="1">IFERROR(__xludf.DUMMYFUNCTION("""COMPUTED_VALUE"""),"с МОТП, РАСШИРЕННЫЙ")</f>
        <v>с МОТП, РАСШИРЕННЫЙ</v>
      </c>
      <c r="C588" s="4" t="str">
        <f ca="1">IFERROR(__xludf.DUMMYFUNCTION("""COMPUTED_VALUE"""),"UP2-RTL15BT-1C82")</f>
        <v>UP2-RTL15BT-1C82</v>
      </c>
      <c r="D588" s="4" t="str">
        <f ca="1">IFERROR(__xludf.DUMMYFUNCTION("""COMPUTED_VALUE"""),"Переход на 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пров"&amp;"одной,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(од"&amp;"но) моб. устройство, подписка на обновления и обмен через Интернет на 1 (один) год")</f>
        <v>Переход на 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8" s="4" t="str">
        <f ca="1">IFERROR(__xludf.DUMMYFUNCTION("""COMPUTED_VALUE"""),"Переход на 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88" s="5">
        <f ca="1">IFERROR(__xludf.DUMMYFUNCTION("""COMPUTED_VALUE"""),9725)</f>
        <v>9725</v>
      </c>
    </row>
    <row r="589" spans="1:6" ht="44.25" customHeight="1" x14ac:dyDescent="0.2">
      <c r="A589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9" s="4" t="str">
        <f ca="1">IFERROR(__xludf.DUMMYFUNCTION("""COMPUTED_VALUE"""),"с МОТП, МЕГАМАРКЕТ")</f>
        <v>с МОТП, МЕГАМАРКЕТ</v>
      </c>
      <c r="C589" s="4" t="str">
        <f ca="1">IFERROR(__xludf.DUMMYFUNCTION("""COMPUTED_VALUE"""),"UP2-RTL15CT-1C82")</f>
        <v>UP2-RTL15CT-1C82</v>
      </c>
      <c r="D589" s="4" t="str">
        <f ca="1">IFERROR(__xludf.DUMMYFUNCTION("""COMPUTED_VALUE"""),"Переход на 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прово"&amp;"дной,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бессрочн"&amp;"ая лицензия на 1 (одно) моб. устройство, подписка на обновления и обмен через Интернет на 1 (один) год")</f>
        <v>Переход на 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9" s="4" t="str">
        <f ca="1">IFERROR(__xludf.DUMMYFUNCTION("""COMPUTED_VALUE"""),"Переход на 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589" s="5">
        <f ca="1">IFERROR(__xludf.DUMMYFUNCTION("""COMPUTED_VALUE"""),12925)</f>
        <v>12925</v>
      </c>
    </row>
    <row r="590" spans="1:6" ht="44.25" customHeight="1" x14ac:dyDescent="0.2">
      <c r="A590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0" s="4" t="str">
        <f ca="1">IFERROR(__xludf.DUMMYFUNCTION("""COMPUTED_VALUE"""),"с ЕГАИС и МОТП, БАЗОВЫЙ")</f>
        <v>с ЕГАИС и МОТП, БАЗОВЫЙ</v>
      </c>
      <c r="C590" s="4" t="str">
        <f ca="1">IFERROR(__xludf.DUMMYFUNCTION("""COMPUTED_VALUE"""),"UP2-RTL15AET-1C82")</f>
        <v>UP2-RTL15AET-1C82</v>
      </c>
      <c r="D590" s="4" t="str">
        <f ca="1">IFERROR(__xludf.DUMMYFUNCTION("""COMPUTED_VALUE"""),"Переход на 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/"&amp;"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мобильный"&amp;"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0" s="4" t="str">
        <f ca="1">IFERROR(__xludf.DUMMYFUNCTION("""COMPUTED_VALUE"""),"Переход на 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90" s="5">
        <f ca="1">IFERROR(__xludf.DUMMYFUNCTION("""COMPUTED_VALUE"""),7075)</f>
        <v>7075</v>
      </c>
    </row>
    <row r="591" spans="1:6" ht="44.25" customHeight="1" x14ac:dyDescent="0.2">
      <c r="A591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1" s="4" t="str">
        <f ca="1">IFERROR(__xludf.DUMMYFUNCTION("""COMPUTED_VALUE"""),"с ЕГАИС и МОТП, РАСШИРЕННЫЙ")</f>
        <v>с ЕГАИС и МОТП, РАСШИРЕННЫЙ</v>
      </c>
      <c r="C591" s="4" t="str">
        <f ca="1">IFERROR(__xludf.DUMMYFUNCTION("""COMPUTED_VALUE"""),"UP2-RTL15BET-1C82")</f>
        <v>UP2-RTL15BET-1C82</v>
      </c>
      <c r="D591" s="4" t="str">
        <f ca="1">IFERROR(__xludf.DUMMYFUNCTION("""COMPUTED_VALUE"""),"Переход на 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штрихкод"&amp;"ам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мобил"&amp;"ьный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1" s="4" t="str">
        <f ca="1">IFERROR(__xludf.DUMMYFUNCTION("""COMPUTED_VALUE"""),"Переход на 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штрихкод"&amp;"ам ")</f>
        <v xml:space="preserve">Переход на 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91" s="5">
        <f ca="1">IFERROR(__xludf.DUMMYFUNCTION("""COMPUTED_VALUE"""),10275)</f>
        <v>10275</v>
      </c>
    </row>
    <row r="592" spans="1:6" ht="44.25" customHeight="1" x14ac:dyDescent="0.2">
      <c r="A592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2" s="4" t="str">
        <f ca="1">IFERROR(__xludf.DUMMYFUNCTION("""COMPUTED_VALUE"""),"с ЕГАИС и МОТП, МЕГАМАРКЕТ")</f>
        <v>с ЕГАИС и МОТП, МЕГАМАРКЕТ</v>
      </c>
      <c r="C592" s="4" t="str">
        <f ca="1">IFERROR(__xludf.DUMMYFUNCTION("""COMPUTED_VALUE"""),"UP2-RTL15CET-1C82")</f>
        <v>UP2-RTL15CET-1C82</v>
      </c>
      <c r="D592" s="4" t="str">
        <f ca="1">IFERROR(__xludf.DUMMYFUNCTION("""COMPUTED_VALUE"""),"Переход на 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штрихкода"&amp;"м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мобиль"&amp;"ный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ра"&amp;"бота,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(оди"&amp;"н) год")</f>
        <v>Переход на 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2" s="4" t="str">
        <f ca="1">IFERROR(__xludf.DUMMYFUNCTION("""COMPUTED_VALUE"""),"Переход на 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штрихкода"&amp;"м ")</f>
        <v xml:space="preserve">Переход на 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592" s="5">
        <f ca="1">IFERROR(__xludf.DUMMYFUNCTION("""COMPUTED_VALUE"""),14175)</f>
        <v>14175</v>
      </c>
    </row>
    <row r="593" spans="1:6" ht="44.25" customHeight="1" x14ac:dyDescent="0.2">
      <c r="A593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3" s="4" t="str">
        <f ca="1">IFERROR(__xludf.DUMMYFUNCTION("""COMPUTED_VALUE"""),"ШМОТКИ, БАЗОВЫЙ")</f>
        <v>ШМОТКИ, БАЗОВЫЙ</v>
      </c>
      <c r="C593" s="4" t="str">
        <f ca="1">IFERROR(__xludf.DUMMYFUNCTION("""COMPUTED_VALUE"""),"UP2-RTL15AK-1C82")</f>
        <v>UP2-RTL15AK-1C82</v>
      </c>
      <c r="D593" s="4" t="str">
        <f ca="1">IFERROR(__xludf.DUMMYFUNCTION("""COMPUTED_VALUE"""),"Переход на 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штрихкод"&amp;"ам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бессрочная"&amp;" лицензия на 1 (одно) моб. устройство, подписка на обновления и обмен через Интернет на 1 (один) год")</f>
        <v>Переход на 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3" s="4" t="str">
        <f ca="1">IFERROR(__xludf.DUMMYFUNCTION("""COMPUTED_VALUE"""),"Переход на 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штрихкод"&amp;"ам ")</f>
        <v xml:space="preserve">Переход на 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93" s="5">
        <f ca="1">IFERROR(__xludf.DUMMYFUNCTION("""COMPUTED_VALUE"""),7075)</f>
        <v>7075</v>
      </c>
    </row>
    <row r="594" spans="1:6" ht="44.25" customHeight="1" x14ac:dyDescent="0.2">
      <c r="A594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4" s="4" t="str">
        <f ca="1">IFERROR(__xludf.DUMMYFUNCTION("""COMPUTED_VALUE"""),"ШМОТКИ, РАСШИРЕННЫЙ")</f>
        <v>ШМОТКИ, РАСШИРЕННЫЙ</v>
      </c>
      <c r="C594" s="4" t="str">
        <f ca="1">IFERROR(__xludf.DUMMYFUNCTION("""COMPUTED_VALUE"""),"UP2-RTL15BK-1C82")</f>
        <v>UP2-RTL15BK-1C82</v>
      </c>
      <c r="D594" s="4" t="str">
        <f ca="1">IFERROR(__xludf.DUMMYFUNCTION("""COMPUTED_VALUE"""),"Переход на 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штри"&amp;"хкодам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Переход на 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4" s="4" t="str">
        <f ca="1">IFERROR(__xludf.DUMMYFUNCTION("""COMPUTED_VALUE"""),"Переход на 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штри"&amp;"хкодам ")</f>
        <v xml:space="preserve">Переход на 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594" s="5">
        <f ca="1">IFERROR(__xludf.DUMMYFUNCTION("""COMPUTED_VALUE"""),10275)</f>
        <v>10275</v>
      </c>
    </row>
    <row r="595" spans="1:6" ht="44.25" customHeight="1" x14ac:dyDescent="0.2">
      <c r="A595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5" s="4" t="str">
        <f ca="1">IFERROR(__xludf.DUMMYFUNCTION("""COMPUTED_VALUE"""),"ШМОТКИ, МЕГАМАРКЕТ")</f>
        <v>ШМОТКИ, МЕГАМАРКЕТ</v>
      </c>
      <c r="C595" s="4" t="str">
        <f ca="1">IFERROR(__xludf.DUMMYFUNCTION("""COMPUTED_VALUE"""),"UP2-RTL15CK-1C82")</f>
        <v>UP2-RTL15CK-1C82</v>
      </c>
      <c r="D595" s="4" t="str">
        <f ca="1">IFERROR(__xludf.DUMMYFUNCTION("""COMPUTED_VALUE"""),"Переход на 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про"&amp;"водной,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Переход на 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5" s="4" t="str">
        <f ca="1">IFERROR(__xludf.DUMMYFUNCTION("""COMPUTED_VALUE"""),"Переход на 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")</f>
        <v xml:space="preserve">Переход на 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</v>
      </c>
      <c r="F595" s="5">
        <f ca="1">IFERROR(__xludf.DUMMYFUNCTION("""COMPUTED_VALUE"""),14175)</f>
        <v>14175</v>
      </c>
    </row>
    <row r="596" spans="1:6" ht="44.25" customHeight="1" x14ac:dyDescent="0.2">
      <c r="A596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6" s="4" t="str">
        <f ca="1">IFERROR(__xludf.DUMMYFUNCTION("""COMPUTED_VALUE"""),"с МДЛП, БАЗОВЫЙ")</f>
        <v>с МДЛП, БАЗОВЫЙ</v>
      </c>
      <c r="C596" s="4" t="str">
        <f ca="1">IFERROR(__xludf.DUMMYFUNCTION("""COMPUTED_VALUE"""),"UP2-RTL15AL-1C82")</f>
        <v>UP2-RTL15AL-1C82</v>
      </c>
      <c r="D596" s="4" t="str">
        <f ca="1">IFERROR(__xludf.DUMMYFUNCTION("""COMPUTED_VALUE"""),"Переход на Mobile SMARTS: Магазин 15 с МДЛП,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вы"&amp;"бор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штрих"&amp;"кодов,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подпис"&amp;"ка на обновления на 1 (один) год")</f>
        <v>Переход на Mobile SMARTS: Магазин 15 с МДЛП,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96" s="4" t="str">
        <f ca="1">IFERROR(__xludf.DUMMYFUNCTION("""COMPUTED_VALUE"""),"Переход на Mobile SMARTS: Магазин 15 с МДЛП, БАЗОВЫЙ для конфигурации на базе «1С:Предприятия 8.2» ")</f>
        <v xml:space="preserve">Переход на Mobile SMARTS: Магазин 15 с МДЛП, БАЗОВЫЙ для конфигурации на базе «1С:Предприятия 8.2» </v>
      </c>
      <c r="F596" s="5">
        <f ca="1">IFERROR(__xludf.DUMMYFUNCTION("""COMPUTED_VALUE"""),5229)</f>
        <v>5229</v>
      </c>
    </row>
    <row r="597" spans="1:6" ht="44.25" customHeight="1" x14ac:dyDescent="0.2">
      <c r="A597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7" s="4" t="str">
        <f ca="1">IFERROR(__xludf.DUMMYFUNCTION("""COMPUTED_VALUE"""),"с МДЛП, РАСШИРЕННЫЙ")</f>
        <v>с МДЛП, РАСШИРЕННЫЙ</v>
      </c>
      <c r="C597" s="4" t="str">
        <f ca="1">IFERROR(__xludf.DUMMYFUNCTION("""COMPUTED_VALUE"""),"UP2-RTL15BL-1C82")</f>
        <v>UP2-RTL15BL-1C82</v>
      </c>
      <c r="D597" s="4" t="str">
        <f ca="1">IFERROR(__xludf.DUMMYFUNCTION("""COMPUTED_VALUE"""),"Переход на Mobile SMARTS: Магазин 15 с МДЛП,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н"&amp;"а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по"&amp;"дписка на обновления на 1 (один) год")</f>
        <v>Переход на Mobile SMARTS: Магазин 15 с МДЛП,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97" s="4" t="str">
        <f ca="1">IFERROR(__xludf.DUMMYFUNCTION("""COMPUTED_VALUE"""),"Переход на Mobile SMARTS: Магазин 15 с МДЛП, РАСШИРЕННЫЙ для конфигурации на базе «1С:Предприятия 8.2» ")</f>
        <v xml:space="preserve">Переход на Mobile SMARTS: Магазин 15 с МДЛП, РАСШИРЕННЫЙ для конфигурации на базе «1С:Предприятия 8.2» </v>
      </c>
      <c r="F597" s="5">
        <f ca="1">IFERROR(__xludf.DUMMYFUNCTION("""COMPUTED_VALUE"""),7689)</f>
        <v>7689</v>
      </c>
    </row>
    <row r="598" spans="1:6" ht="44.25" customHeight="1" x14ac:dyDescent="0.2">
      <c r="A598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8" s="4" t="str">
        <f ca="1">IFERROR(__xludf.DUMMYFUNCTION("""COMPUTED_VALUE"""),"с МДЛП, МЕГАМАРКЕТ")</f>
        <v>с МДЛП, МЕГАМАРКЕТ</v>
      </c>
      <c r="C598" s="4" t="str">
        <f ca="1">IFERROR(__xludf.DUMMYFUNCTION("""COMPUTED_VALUE"""),"UP2-RTL15CL-1C82")</f>
        <v>UP2-RTL15CL-1C82</v>
      </c>
      <c r="D598" s="4" t="str">
        <f ca="1">IFERROR(__xludf.DUMMYFUNCTION("""COMPUTED_VALUE"""),"Переход на Mobile SMARTS: Магазин 15 с МДЛП,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на"&amp;"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(одно)"&amp;" моб. устройство, подписка на обновления на 1 (один) год")</f>
        <v>Переход на Mobile SMARTS: Магазин 15 с МДЛП,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598" s="4" t="str">
        <f ca="1">IFERROR(__xludf.DUMMYFUNCTION("""COMPUTED_VALUE"""),"Переход на Mobile SMARTS: Магазин 15 с МДЛП, МЕГАМАРКЕТ для конфигурации на базе «1С:Предприятия 8.2» ")</f>
        <v xml:space="preserve">Переход на Mobile SMARTS: Магазин 15 с МДЛП, МЕГАМАРКЕТ для конфигурации на базе «1С:Предприятия 8.2» </v>
      </c>
      <c r="F598" s="5">
        <f ca="1">IFERROR(__xludf.DUMMYFUNCTION("""COMPUTED_VALUE"""),11349)</f>
        <v>11349</v>
      </c>
    </row>
    <row r="599" spans="1:6" ht="44.25" customHeight="1" x14ac:dyDescent="0.2">
      <c r="A599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9" s="4" t="str">
        <f ca="1">IFERROR(__xludf.DUMMYFUNCTION("""COMPUTED_VALUE"""),"ПРОДУКТОВЫЙ, БАЗОВЫЙ")</f>
        <v>ПРОДУКТОВЫЙ, БАЗОВЫЙ</v>
      </c>
      <c r="C599" s="4" t="str">
        <f ca="1">IFERROR(__xludf.DUMMYFUNCTION("""COMPUTED_VALUE"""),"UP2-RTL15AG-1C82")</f>
        <v>UP2-RTL15AG-1C82</v>
      </c>
      <c r="D599" s="4" t="str">
        <f ca="1">IFERROR(__xludf.DUMMYFUNCTION("""COMPUTED_VALUE"""),"Переход на Mobile SMARTS: Магазин 15 ПРОДУКТОВЫЙ,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ОДЕЖД"&amp;"А,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переоценк"&amp;"а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инфор"&amp;"мация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99" s="4" t="str">
        <f ca="1">IFERROR(__xludf.DUMMYFUNCTION("""COMPUTED_VALUE"""),"Переход на Mobile SMARTS: Магазин 15 ПРОДУКТОВЫЙ, БАЗОВЫЙ для конфигурации на базе «1С:Предприятия 8.2» ")</f>
        <v xml:space="preserve">Переход на Mobile SMARTS: Магазин 15 ПРОДУКТОВЫЙ, БАЗОВЫЙ для конфигурации на базе «1С:Предприятия 8.2» </v>
      </c>
      <c r="F599" s="5">
        <f ca="1">IFERROR(__xludf.DUMMYFUNCTION("""COMPUTED_VALUE"""),6579)</f>
        <v>6579</v>
      </c>
    </row>
    <row r="600" spans="1:6" ht="44.25" customHeight="1" x14ac:dyDescent="0.2">
      <c r="A600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600" s="4" t="str">
        <f ca="1">IFERROR(__xludf.DUMMYFUNCTION("""COMPUTED_VALUE"""),"ПРОДУКТОВЫЙ, РАСШИРЕННЫЙ")</f>
        <v>ПРОДУКТОВЫЙ, РАСШИРЕННЫЙ</v>
      </c>
      <c r="C600" s="4" t="str">
        <f ca="1">IFERROR(__xludf.DUMMYFUNCTION("""COMPUTED_VALUE"""),"UP2-RTL15BG-1C82")</f>
        <v>UP2-RTL15BG-1C82</v>
      </c>
      <c r="D600" s="4" t="str">
        <f ca="1">IFERROR(__xludf.DUMMYFUNCTION("""COMPUTED_VALUE"""),"Переход на Mobile SMARTS: Магазин 15 ПРОДУКТОВЫЙ,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О"&amp;"ДЕЖДА,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перео"&amp;"ценка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и"&amp;"нформация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00" s="4" t="str">
        <f ca="1">IFERROR(__xludf.DUMMYFUNCTION("""COMPUTED_VALUE"""),"Переход на Mobile SMARTS: Магазин 15 ПРОДУКТОВЫЙ, РАСШИРЕННЫЙ для конфигурации на базе «1С:Предприятия 8.2» ")</f>
        <v xml:space="preserve">Переход на Mobile SMARTS: Магазин 15 ПРОДУКТОВЫЙ, РАСШИРЕННЫЙ для конфигурации на базе «1С:Предприятия 8.2» </v>
      </c>
      <c r="F600" s="5">
        <f ca="1">IFERROR(__xludf.DUMMYFUNCTION("""COMPUTED_VALUE"""),9039)</f>
        <v>9039</v>
      </c>
    </row>
    <row r="601" spans="1:6" ht="44.25" customHeight="1" x14ac:dyDescent="0.2">
      <c r="A601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601" s="4" t="str">
        <f ca="1">IFERROR(__xludf.DUMMYFUNCTION("""COMPUTED_VALUE"""),"ПРОДУКТОВЫЙ, МЕГАМАРКЕТ")</f>
        <v>ПРОДУКТОВЫЙ, МЕГАМАРКЕТ</v>
      </c>
      <c r="C601" s="4" t="str">
        <f ca="1">IFERROR(__xludf.DUMMYFUNCTION("""COMPUTED_VALUE"""),"UP2-RTL15CG-1C82")</f>
        <v>UP2-RTL15CG-1C82</v>
      </c>
      <c r="D601" s="4" t="str">
        <f ca="1">IFERROR(__xludf.DUMMYFUNCTION("""COMPUTED_VALUE"""),"Переход на Mobile SMARTS: Магазин 15 ПРОДУКТОВЫЙ,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ОД"&amp;"ЕЖДА,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переоц"&amp;"енка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ко"&amp;"ллективная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01" s="4" t="str">
        <f ca="1">IFERROR(__xludf.DUMMYFUNCTION("""COMPUTED_VALUE"""),"Переход на Mobile SMARTS: Магазин 15 ПРОДУКТОВЫЙ, МЕГАМАРКЕТ для конфигурации на базе «1С:Предприятия 8.2» ")</f>
        <v xml:space="preserve">Переход на Mobile SMARTS: Магазин 15 ПРОДУКТОВЫЙ, МЕГАМАРКЕТ для конфигурации на базе «1С:Предприятия 8.2» </v>
      </c>
      <c r="F601" s="5">
        <f ca="1">IFERROR(__xludf.DUMMYFUNCTION("""COMPUTED_VALUE"""),15084.5)</f>
        <v>15084.5</v>
      </c>
    </row>
    <row r="602" spans="1:6" ht="44.25" customHeight="1" x14ac:dyDescent="0.2">
      <c r="A602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2" s="4" t="str">
        <f ca="1">IFERROR(__xludf.DUMMYFUNCTION("""COMPUTED_VALUE"""),"МИНИМУМ")</f>
        <v>МИНИМУМ</v>
      </c>
      <c r="C602" s="4" t="str">
        <f ca="1">IFERROR(__xludf.DUMMYFUNCTION("""COMPUTED_VALUE"""),"UP2-RTL15M-1C83")</f>
        <v>UP2-RTL15M-1C83</v>
      </c>
      <c r="D602" s="4" t="str">
        <f ca="1">IFERROR(__xludf.DUMMYFUNCTION("""COMPUTED_VALUE"""),"Переход на 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Интер"&amp;"нет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лице"&amp;"нзия на 1 (одно) моб. устройство, подписка на обновления и обмен через Интернет на 1 (один) год")</f>
        <v>Переход на 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602" s="4" t="str">
        <f ca="1">IFERROR(__xludf.DUMMYFUNCTION("""COMPUTED_VALUE"""),"Переход на 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</v>
      </c>
      <c r="F602" s="5">
        <f ca="1">IFERROR(__xludf.DUMMYFUNCTION("""COMPUTED_VALUE"""),2725)</f>
        <v>2725</v>
      </c>
    </row>
    <row r="603" spans="1:6" ht="44.25" customHeight="1" x14ac:dyDescent="0.2">
      <c r="A603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3" s="4" t="str">
        <f ca="1">IFERROR(__xludf.DUMMYFUNCTION("""COMPUTED_VALUE"""),"БАЗОВЫЙ")</f>
        <v>БАЗОВЫЙ</v>
      </c>
      <c r="C603" s="4" t="str">
        <f ca="1">IFERROR(__xludf.DUMMYFUNCTION("""COMPUTED_VALUE"""),"UP2-RTL15A-1C83")</f>
        <v>UP2-RTL15A-1C83</v>
      </c>
      <c r="D603" s="4" t="str">
        <f ca="1">IFERROR(__xludf.DUMMYFUNCTION("""COMPUTED_VALUE"""),"Переход на 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Интер"&amp;"нет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3" s="4" t="str">
        <f ca="1">IFERROR(__xludf.DUMMYFUNCTION("""COMPUTED_VALUE"""),"Переход на 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</v>
      </c>
      <c r="F603" s="5">
        <f ca="1">IFERROR(__xludf.DUMMYFUNCTION("""COMPUTED_VALUE"""),5325)</f>
        <v>5325</v>
      </c>
    </row>
    <row r="604" spans="1:6" ht="44.25" customHeight="1" x14ac:dyDescent="0.2">
      <c r="A604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4" s="4" t="str">
        <f ca="1">IFERROR(__xludf.DUMMYFUNCTION("""COMPUTED_VALUE"""),"РАСШИРЕННЫЙ")</f>
        <v>РАСШИРЕННЫЙ</v>
      </c>
      <c r="C604" s="4" t="str">
        <f ca="1">IFERROR(__xludf.DUMMYFUNCTION("""COMPUTED_VALUE"""),"UP2-RTL15B-1C83")</f>
        <v>UP2-RTL15B-1C83</v>
      </c>
      <c r="D604" s="4" t="str">
        <f ca="1">IFERROR(__xludf.DUMMYFUNCTION("""COMPUTED_VALUE"""),"Переход на 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И"&amp;"нтернет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Переход на 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4" s="4" t="str">
        <f ca="1">IFERROR(__xludf.DUMMYFUNCTION("""COMPUTED_VALUE"""),"Переход на 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</v>
      </c>
      <c r="F604" s="5">
        <f ca="1">IFERROR(__xludf.DUMMYFUNCTION("""COMPUTED_VALUE"""),8525)</f>
        <v>8525</v>
      </c>
    </row>
    <row r="605" spans="1:6" ht="44.25" customHeight="1" x14ac:dyDescent="0.2">
      <c r="A605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5" s="4" t="str">
        <f ca="1">IFERROR(__xludf.DUMMYFUNCTION("""COMPUTED_VALUE"""),"МЕГАМАРКЕТ")</f>
        <v>МЕГАМАРКЕТ</v>
      </c>
      <c r="C605" s="4" t="str">
        <f ca="1">IFERROR(__xludf.DUMMYFUNCTION("""COMPUTED_VALUE"""),"UP2-RTL15C-1C83")</f>
        <v>UP2-RTL15C-1C83</v>
      </c>
      <c r="D605" s="4" t="str">
        <f ca="1">IFERROR(__xludf.DUMMYFUNCTION("""COMPUTED_VALUE"""),"Переход на 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Ин"&amp;"тернет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"&amp;"коллективная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Переход на 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5" s="4" t="str">
        <f ca="1">IFERROR(__xludf.DUMMYFUNCTION("""COMPUTED_VALUE"""),"Переход на 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")</f>
        <v xml:space="preserve">Переход на 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</v>
      </c>
      <c r="F605" s="5">
        <f ca="1">IFERROR(__xludf.DUMMYFUNCTION("""COMPUTED_VALUE"""),11775)</f>
        <v>11775</v>
      </c>
    </row>
    <row r="606" spans="1:6" ht="44.25" customHeight="1" x14ac:dyDescent="0.2">
      <c r="A606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6" s="4" t="str">
        <f ca="1">IFERROR(__xludf.DUMMYFUNCTION("""COMPUTED_VALUE"""),"с ЕГАИС, БАЗОВЫЙ")</f>
        <v>с ЕГАИС, БАЗОВЫЙ</v>
      </c>
      <c r="C606" s="4" t="str">
        <f ca="1">IFERROR(__xludf.DUMMYFUNCTION("""COMPUTED_VALUE"""),"UP2-RTL15AE-1C83")</f>
        <v>UP2-RTL15AE-1C83</v>
      </c>
      <c r="D606" s="4" t="str">
        <f ca="1">IFERROR(__xludf.DUMMYFUNCTION("""COMPUTED_VALUE"""),"Переход на 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выбо"&amp;"р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про"&amp;"смотр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м"&amp;"об. устройство, подписка на обновления и обмен через Интернет на 1 (один) год")</f>
        <v>Переход на 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606" s="4" t="str">
        <f ca="1">IFERROR(__xludf.DUMMYFUNCTION("""COMPUTED_VALUE"""),"Переход на 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606" s="5">
        <f ca="1">IFERROR(__xludf.DUMMYFUNCTION("""COMPUTED_VALUE"""),6500)</f>
        <v>6500</v>
      </c>
    </row>
    <row r="607" spans="1:6" ht="44.25" customHeight="1" x14ac:dyDescent="0.2">
      <c r="A607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7" s="4" t="str">
        <f ca="1">IFERROR(__xludf.DUMMYFUNCTION("""COMPUTED_VALUE"""),"с ЕГАИС, РАСШИРЕННЫЙ")</f>
        <v>с ЕГАИС, РАСШИРЕННЫЙ</v>
      </c>
      <c r="C607" s="4" t="str">
        <f ca="1">IFERROR(__xludf.DUMMYFUNCTION("""COMPUTED_VALUE"""),"UP2-RTL15BE-1C83")</f>
        <v>UP2-RTL15BE-1C83</v>
      </c>
      <c r="D607" s="4" t="str">
        <f ca="1">IFERROR(__xludf.DUMMYFUNCTION("""COMPUTED_VALUE"""),"Переход на 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"&amp;"выбор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штрихкодов,"&amp;"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Переход на 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7" s="4" t="str">
        <f ca="1">IFERROR(__xludf.DUMMYFUNCTION("""COMPUTED_VALUE"""),"Переход на 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")</f>
        <v xml:space="preserve">Переход на 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607" s="5">
        <f ca="1">IFERROR(__xludf.DUMMYFUNCTION("""COMPUTED_VALUE"""),9725)</f>
        <v>9725</v>
      </c>
    </row>
    <row r="608" spans="1:6" ht="44.25" customHeight="1" x14ac:dyDescent="0.2">
      <c r="A608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8" s="4" t="str">
        <f ca="1">IFERROR(__xludf.DUMMYFUNCTION("""COMPUTED_VALUE"""),"с ЕГАИС (без CheckMark2), МЕГАМАРКЕТ")</f>
        <v>с ЕГАИС (без CheckMark2), МЕГАМАРКЕТ</v>
      </c>
      <c r="C608" s="4" t="str">
        <f ca="1">IFERROR(__xludf.DUMMYFUNCTION("""COMPUTED_VALUE"""),"UP2-RTL15CEV-1C83")</f>
        <v>UP2-RTL15CEV-1C83</v>
      </c>
      <c r="D608" s="4" t="str">
        <f ca="1">IFERROR(__xludf.DUMMYFUNCTION("""COMPUTED_VALUE"""),"Переход на 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"&amp;"штрихкодам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"&amp;"сбор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свои"&amp;"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8" s="4" t="str">
        <f ca="1">IFERROR(__xludf.DUMMYFUNCTION("""COMPUTED_VALUE"""),"Переход на 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"&amp;"штрихкодам ")</f>
        <v xml:space="preserve">Переход на 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</v>
      </c>
      <c r="F608" s="5">
        <f ca="1">IFERROR(__xludf.DUMMYFUNCTION("""COMPUTED_VALUE"""),12925)</f>
        <v>12925</v>
      </c>
    </row>
    <row r="609" spans="1:6" ht="44.25" customHeight="1" x14ac:dyDescent="0.2">
      <c r="A609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9" s="4" t="str">
        <f ca="1">IFERROR(__xludf.DUMMYFUNCTION("""COMPUTED_VALUE"""),"с МОТП, БАЗОВЫЙ")</f>
        <v>с МОТП, БАЗОВЫЙ</v>
      </c>
      <c r="C609" s="4" t="str">
        <f ca="1">IFERROR(__xludf.DUMMYFUNCTION("""COMPUTED_VALUE"""),"UP2-RTL15AT-1C83")</f>
        <v>UP2-RTL15AT-1C83</v>
      </c>
      <c r="D609" s="4" t="str">
        <f ca="1">IFERROR(__xludf.DUMMYFUNCTION("""COMPUTED_VALUE"""),"Переход на 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проводно"&amp;"й,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"&amp;"моб. устройство, подписка на обновления и обмен через Интернет на 1 (один) год")</f>
        <v>Переход на 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9" s="4" t="str">
        <f ca="1">IFERROR(__xludf.DUMMYFUNCTION("""COMPUTED_VALUE"""),"Переход на 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609" s="5">
        <f ca="1">IFERROR(__xludf.DUMMYFUNCTION("""COMPUTED_VALUE"""),6575)</f>
        <v>6575</v>
      </c>
    </row>
    <row r="610" spans="1:6" ht="44.25" customHeight="1" x14ac:dyDescent="0.2">
      <c r="A610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0" s="4" t="str">
        <f ca="1">IFERROR(__xludf.DUMMYFUNCTION("""COMPUTED_VALUE"""),"с МОТП, РАСШИРЕННЫЙ")</f>
        <v>с МОТП, РАСШИРЕННЫЙ</v>
      </c>
      <c r="C610" s="4" t="str">
        <f ca="1">IFERROR(__xludf.DUMMYFUNCTION("""COMPUTED_VALUE"""),"UP2-RTL15BT-1C83")</f>
        <v>UP2-RTL15BT-1C83</v>
      </c>
      <c r="D610" s="4" t="str">
        <f ca="1">IFERROR(__xludf.DUMMYFUNCTION("""COMPUTED_VALUE"""),"Переход на 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пров"&amp;"одной,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(од"&amp;"но) моб. устройство, подписка на обновления и обмен через Интернет на 1 (один) год")</f>
        <v>Переход на 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0" s="4" t="str">
        <f ca="1">IFERROR(__xludf.DUMMYFUNCTION("""COMPUTED_VALUE"""),"Переход на 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610" s="5">
        <f ca="1">IFERROR(__xludf.DUMMYFUNCTION("""COMPUTED_VALUE"""),9725)</f>
        <v>9725</v>
      </c>
    </row>
    <row r="611" spans="1:6" ht="44.25" customHeight="1" x14ac:dyDescent="0.2">
      <c r="A611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1" s="4" t="str">
        <f ca="1">IFERROR(__xludf.DUMMYFUNCTION("""COMPUTED_VALUE"""),"с МОТП, МЕГАМАРКЕТ")</f>
        <v>с МОТП, МЕГАМАРКЕТ</v>
      </c>
      <c r="C611" s="4" t="str">
        <f ca="1">IFERROR(__xludf.DUMMYFUNCTION("""COMPUTED_VALUE"""),"UP2-RTL15CT-1C83")</f>
        <v>UP2-RTL15CT-1C83</v>
      </c>
      <c r="D611" s="4" t="str">
        <f ca="1">IFERROR(__xludf.DUMMYFUNCTION("""COMPUTED_VALUE"""),"Переход на 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прово"&amp;"дной,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бессрочн"&amp;"ая лицензия на 1 (одно) моб. устройство, подписка на обновления и обмен через Интернет на 1 (один) год")</f>
        <v>Переход на 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1" s="4" t="str">
        <f ca="1">IFERROR(__xludf.DUMMYFUNCTION("""COMPUTED_VALUE"""),"Переход на 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")</f>
        <v xml:space="preserve">Переход на 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</v>
      </c>
      <c r="F611" s="5">
        <f ca="1">IFERROR(__xludf.DUMMYFUNCTION("""COMPUTED_VALUE"""),12925)</f>
        <v>12925</v>
      </c>
    </row>
    <row r="612" spans="1:6" ht="44.25" customHeight="1" x14ac:dyDescent="0.2">
      <c r="A612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2" s="4" t="str">
        <f ca="1">IFERROR(__xludf.DUMMYFUNCTION("""COMPUTED_VALUE"""),"с ЕГАИС и МОТП, БАЗОВЫЙ")</f>
        <v>с ЕГАИС и МОТП, БАЗОВЫЙ</v>
      </c>
      <c r="C612" s="4" t="str">
        <f ca="1">IFERROR(__xludf.DUMMYFUNCTION("""COMPUTED_VALUE"""),"UP2-RTL15AET-1C83")</f>
        <v>UP2-RTL15AET-1C83</v>
      </c>
      <c r="D612" s="4" t="str">
        <f ca="1">IFERROR(__xludf.DUMMYFUNCTION("""COMPUTED_VALUE"""),"Переход на 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/"&amp;"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мобильный"&amp;"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2" s="4" t="str">
        <f ca="1">IFERROR(__xludf.DUMMYFUNCTION("""COMPUTED_VALUE"""),"Переход на 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")</f>
        <v xml:space="preserve">Переход на 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612" s="5">
        <f ca="1">IFERROR(__xludf.DUMMYFUNCTION("""COMPUTED_VALUE"""),7075)</f>
        <v>7075</v>
      </c>
    </row>
    <row r="613" spans="1:6" ht="44.25" customHeight="1" x14ac:dyDescent="0.2">
      <c r="A613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3" s="4" t="str">
        <f ca="1">IFERROR(__xludf.DUMMYFUNCTION("""COMPUTED_VALUE"""),"с ЕГАИС и МОТП, РАСШИРЕННЫЙ")</f>
        <v>с ЕГАИС и МОТП, РАСШИРЕННЫЙ</v>
      </c>
      <c r="C613" s="4" t="str">
        <f ca="1">IFERROR(__xludf.DUMMYFUNCTION("""COMPUTED_VALUE"""),"UP2-RTL15BET-1C83")</f>
        <v>UP2-RTL15BET-1C83</v>
      </c>
      <c r="D613" s="4" t="str">
        <f ca="1">IFERROR(__xludf.DUMMYFUNCTION("""COMPUTED_VALUE"""),"Переход на 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штрихкод"&amp;"ам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мобил"&amp;"ьный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Переход на 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3" s="4" t="str">
        <f ca="1">IFERROR(__xludf.DUMMYFUNCTION("""COMPUTED_VALUE"""),"Переход на 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штрихкод"&amp;"ам ")</f>
        <v xml:space="preserve">Переход на 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613" s="5">
        <f ca="1">IFERROR(__xludf.DUMMYFUNCTION("""COMPUTED_VALUE"""),10275)</f>
        <v>10275</v>
      </c>
    </row>
    <row r="614" spans="1:6" ht="44.25" customHeight="1" x14ac:dyDescent="0.2">
      <c r="A614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4" s="4" t="str">
        <f ca="1">IFERROR(__xludf.DUMMYFUNCTION("""COMPUTED_VALUE"""),"с ЕГАИС и МОТП, МЕГАМАРКЕТ")</f>
        <v>с ЕГАИС и МОТП, МЕГАМАРКЕТ</v>
      </c>
      <c r="C614" s="4" t="str">
        <f ca="1">IFERROR(__xludf.DUMMYFUNCTION("""COMPUTED_VALUE"""),"UP2-RTL15CET-1C83")</f>
        <v>UP2-RTL15CET-1C83</v>
      </c>
      <c r="D614" s="4" t="str">
        <f ca="1">IFERROR(__xludf.DUMMYFUNCTION("""COMPUTED_VALUE"""),"Переход на 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штрихкода"&amp;"м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мобиль"&amp;"ный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ра"&amp;"бота,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(оди"&amp;"н) год")</f>
        <v>Переход на 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4" s="4" t="str">
        <f ca="1">IFERROR(__xludf.DUMMYFUNCTION("""COMPUTED_VALUE"""),"Переход на 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штрихкода"&amp;"м ")</f>
        <v xml:space="preserve">Переход на 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</v>
      </c>
      <c r="F614" s="5">
        <f ca="1">IFERROR(__xludf.DUMMYFUNCTION("""COMPUTED_VALUE"""),14175)</f>
        <v>14175</v>
      </c>
    </row>
    <row r="615" spans="1:6" ht="44.25" customHeight="1" x14ac:dyDescent="0.2">
      <c r="A615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5" s="4" t="str">
        <f ca="1">IFERROR(__xludf.DUMMYFUNCTION("""COMPUTED_VALUE"""),"ШМОТКИ, БАЗОВЫЙ")</f>
        <v>ШМОТКИ, БАЗОВЫЙ</v>
      </c>
      <c r="C615" s="4" t="str">
        <f ca="1">IFERROR(__xludf.DUMMYFUNCTION("""COMPUTED_VALUE"""),"UP2-RTL15AK-1C83")</f>
        <v>UP2-RTL15AK-1C83</v>
      </c>
      <c r="D615" s="4" t="str">
        <f ca="1">IFERROR(__xludf.DUMMYFUNCTION("""COMPUTED_VALUE"""),"Переход на 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штрихкод"&amp;"ам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бессрочная"&amp;" лицензия на 1 (одно) моб. устройство, подписка на обновления и обмен через Интернет на 1 (один) год")</f>
        <v>Переход на 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5" s="4" t="str">
        <f ca="1">IFERROR(__xludf.DUMMYFUNCTION("""COMPUTED_VALUE"""),"Переход на 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штрихкод"&amp;"ам ")</f>
        <v xml:space="preserve">Переход на 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615" s="5">
        <f ca="1">IFERROR(__xludf.DUMMYFUNCTION("""COMPUTED_VALUE"""),7075)</f>
        <v>7075</v>
      </c>
    </row>
    <row r="616" spans="1:6" ht="44.25" customHeight="1" x14ac:dyDescent="0.2">
      <c r="A616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6" s="4" t="str">
        <f ca="1">IFERROR(__xludf.DUMMYFUNCTION("""COMPUTED_VALUE"""),"ШМОТКИ, РАСШИРЕННЫЙ")</f>
        <v>ШМОТКИ, РАСШИРЕННЫЙ</v>
      </c>
      <c r="C616" s="4" t="str">
        <f ca="1">IFERROR(__xludf.DUMMYFUNCTION("""COMPUTED_VALUE"""),"UP2-RTL15BK-1C83")</f>
        <v>UP2-RTL15BK-1C83</v>
      </c>
      <c r="D616" s="4" t="str">
        <f ca="1">IFERROR(__xludf.DUMMYFUNCTION("""COMPUTED_VALUE"""),"Переход на 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штри"&amp;"хкодам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Переход на 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6" s="4" t="str">
        <f ca="1">IFERROR(__xludf.DUMMYFUNCTION("""COMPUTED_VALUE"""),"Переход на 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штри"&amp;"хкодам ")</f>
        <v xml:space="preserve">Переход на 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</v>
      </c>
      <c r="F616" s="5">
        <f ca="1">IFERROR(__xludf.DUMMYFUNCTION("""COMPUTED_VALUE"""),10275)</f>
        <v>10275</v>
      </c>
    </row>
    <row r="617" spans="1:6" ht="44.25" customHeight="1" x14ac:dyDescent="0.2">
      <c r="A617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7" s="4" t="str">
        <f ca="1">IFERROR(__xludf.DUMMYFUNCTION("""COMPUTED_VALUE"""),"ШМОТКИ, МЕГАМАРКЕТ")</f>
        <v>ШМОТКИ, МЕГАМАРКЕТ</v>
      </c>
      <c r="C617" s="4" t="str">
        <f ca="1">IFERROR(__xludf.DUMMYFUNCTION("""COMPUTED_VALUE"""),"UP2-RTL15CK-1C83")</f>
        <v>UP2-RTL15CK-1C83</v>
      </c>
      <c r="D617" s="4" t="str">
        <f ca="1">IFERROR(__xludf.DUMMYFUNCTION("""COMPUTED_VALUE"""),"Переход на 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про"&amp;"водной,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Переход на 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7" s="4" t="str">
        <f ca="1">IFERROR(__xludf.DUMMYFUNCTION("""COMPUTED_VALUE"""),"Переход на 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")</f>
        <v xml:space="preserve">Переход на 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</v>
      </c>
      <c r="F617" s="5">
        <f ca="1">IFERROR(__xludf.DUMMYFUNCTION("""COMPUTED_VALUE"""),14175)</f>
        <v>14175</v>
      </c>
    </row>
    <row r="618" spans="1:6" ht="44.25" customHeight="1" x14ac:dyDescent="0.2">
      <c r="A618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8" s="4" t="str">
        <f ca="1">IFERROR(__xludf.DUMMYFUNCTION("""COMPUTED_VALUE"""),"с МДЛП, БАЗОВЫЙ")</f>
        <v>с МДЛП, БАЗОВЫЙ</v>
      </c>
      <c r="C618" s="4" t="str">
        <f ca="1">IFERROR(__xludf.DUMMYFUNCTION("""COMPUTED_VALUE"""),"UP2-RTL15AL-1C83")</f>
        <v>UP2-RTL15AL-1C83</v>
      </c>
      <c r="D618" s="4" t="str">
        <f ca="1">IFERROR(__xludf.DUMMYFUNCTION("""COMPUTED_VALUE"""),"Переход на Mobile SMARTS: Магазин 15 с МДЛП,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вы"&amp;"бор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штрих"&amp;"кодов,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подпис"&amp;"ка на обновления на 1 (один) год")</f>
        <v>Переход на Mobile SMARTS: Магазин 15 с МДЛП,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18" s="4" t="str">
        <f ca="1">IFERROR(__xludf.DUMMYFUNCTION("""COMPUTED_VALUE"""),"Переход на Mobile SMARTS: Магазин 15 с МДЛП, БАЗОВЫЙ для конфигурации на базе «1С:Предприятия 8.3» ")</f>
        <v xml:space="preserve">Переход на Mobile SMARTS: Магазин 15 с МДЛП, БАЗОВЫЙ для конфигурации на базе «1С:Предприятия 8.3» </v>
      </c>
      <c r="F618" s="5">
        <f ca="1">IFERROR(__xludf.DUMMYFUNCTION("""COMPUTED_VALUE"""),5229)</f>
        <v>5229</v>
      </c>
    </row>
    <row r="619" spans="1:6" ht="44.25" customHeight="1" x14ac:dyDescent="0.2">
      <c r="A619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9" s="4" t="str">
        <f ca="1">IFERROR(__xludf.DUMMYFUNCTION("""COMPUTED_VALUE"""),"с МДЛП, РАСШИРЕННЫЙ")</f>
        <v>с МДЛП, РАСШИРЕННЫЙ</v>
      </c>
      <c r="C619" s="4" t="str">
        <f ca="1">IFERROR(__xludf.DUMMYFUNCTION("""COMPUTED_VALUE"""),"UP2-RTL15BL-1C83")</f>
        <v>UP2-RTL15BL-1C83</v>
      </c>
      <c r="D619" s="4" t="str">
        <f ca="1">IFERROR(__xludf.DUMMYFUNCTION("""COMPUTED_VALUE"""),"Переход на Mobile SMARTS: Магазин 15 с МДЛП,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н"&amp;"а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по"&amp;"дписка на обновления на 1 (один) год")</f>
        <v>Переход на Mobile SMARTS: Магазин 15 с МДЛП,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19" s="4" t="str">
        <f ca="1">IFERROR(__xludf.DUMMYFUNCTION("""COMPUTED_VALUE"""),"Переход на Mobile SMARTS: Магазин 15 с МДЛП, РАСШИРЕННЫЙ для конфигурации на базе «1С:Предприятия 8.3» ")</f>
        <v xml:space="preserve">Переход на Mobile SMARTS: Магазин 15 с МДЛП, РАСШИРЕННЫЙ для конфигурации на базе «1С:Предприятия 8.3» </v>
      </c>
      <c r="F619" s="5">
        <f ca="1">IFERROR(__xludf.DUMMYFUNCTION("""COMPUTED_VALUE"""),7689)</f>
        <v>7689</v>
      </c>
    </row>
    <row r="620" spans="1:6" ht="44.25" customHeight="1" x14ac:dyDescent="0.2">
      <c r="A620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20" s="4" t="str">
        <f ca="1">IFERROR(__xludf.DUMMYFUNCTION("""COMPUTED_VALUE"""),"с МДЛП, МЕГАМАРКЕТ")</f>
        <v>с МДЛП, МЕГАМАРКЕТ</v>
      </c>
      <c r="C620" s="4" t="str">
        <f ca="1">IFERROR(__xludf.DUMMYFUNCTION("""COMPUTED_VALUE"""),"UP2-RTL15CL-1C83")</f>
        <v>UP2-RTL15CL-1C83</v>
      </c>
      <c r="D620" s="4" t="str">
        <f ca="1">IFERROR(__xludf.DUMMYFUNCTION("""COMPUTED_VALUE"""),"Переход на Mobile SMARTS: Магазин 15 с МДЛП,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на"&amp;"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(одно)"&amp;" моб. устройство, подписка на обновления на 1 (один) год")</f>
        <v>Переход на Mobile SMARTS: Магазин 15 с МДЛП,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0" s="4" t="str">
        <f ca="1">IFERROR(__xludf.DUMMYFUNCTION("""COMPUTED_VALUE"""),"Переход на Mobile SMARTS: Магазин 15 с МДЛП, МЕГАМАРКЕТ для конфигурации на базе «1С:Предприятия 8.3» ")</f>
        <v xml:space="preserve">Переход на Mobile SMARTS: Магазин 15 с МДЛП, МЕГАМАРКЕТ для конфигурации на базе «1С:Предприятия 8.3» </v>
      </c>
      <c r="F620" s="5">
        <f ca="1">IFERROR(__xludf.DUMMYFUNCTION("""COMPUTED_VALUE"""),11349)</f>
        <v>11349</v>
      </c>
    </row>
    <row r="621" spans="1:6" ht="44.25" customHeight="1" x14ac:dyDescent="0.2">
      <c r="A621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21" s="4" t="str">
        <f ca="1">IFERROR(__xludf.DUMMYFUNCTION("""COMPUTED_VALUE"""),"ПРОДУКТОВЫЙ, БАЗОВЫЙ")</f>
        <v>ПРОДУКТОВЫЙ, БАЗОВЫЙ</v>
      </c>
      <c r="C621" s="4" t="str">
        <f ca="1">IFERROR(__xludf.DUMMYFUNCTION("""COMPUTED_VALUE"""),"UP2-RTL15AG-1C83")</f>
        <v>UP2-RTL15AG-1C83</v>
      </c>
      <c r="D621" s="4" t="str">
        <f ca="1">IFERROR(__xludf.DUMMYFUNCTION("""COMPUTED_VALUE"""),"Переход на Mobile SMARTS: Магазин 15 ПРОДУКТОВЫЙ,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ОДЕЖД"&amp;"А,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переоценк"&amp;"а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инфор"&amp;"мация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21" s="4" t="str">
        <f ca="1">IFERROR(__xludf.DUMMYFUNCTION("""COMPUTED_VALUE"""),"Переход на Mobile SMARTS: Магазин 15 ПРОДУКТОВЫЙ, БАЗОВЫЙ для конфигурации на базе «1С:Предприятия 8.3» ")</f>
        <v xml:space="preserve">Переход на Mobile SMARTS: Магазин 15 ПРОДУКТОВЫЙ, БАЗОВЫЙ для конфигурации на базе «1С:Предприятия 8.3» </v>
      </c>
      <c r="F621" s="5">
        <f ca="1">IFERROR(__xludf.DUMMYFUNCTION("""COMPUTED_VALUE"""),6579)</f>
        <v>6579</v>
      </c>
    </row>
    <row r="622" spans="1:6" ht="44.25" customHeight="1" x14ac:dyDescent="0.2">
      <c r="A622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22" s="4" t="str">
        <f ca="1">IFERROR(__xludf.DUMMYFUNCTION("""COMPUTED_VALUE"""),"ПРОДУКТОВЫЙ, РАСШИРЕННЫЙ")</f>
        <v>ПРОДУКТОВЫЙ, РАСШИРЕННЫЙ</v>
      </c>
      <c r="C622" s="4" t="str">
        <f ca="1">IFERROR(__xludf.DUMMYFUNCTION("""COMPUTED_VALUE"""),"UP2-RTL15BG-1C83")</f>
        <v>UP2-RTL15BG-1C83</v>
      </c>
      <c r="D622" s="4" t="str">
        <f ca="1">IFERROR(__xludf.DUMMYFUNCTION("""COMPUTED_VALUE"""),"Переход на Mobile SMARTS: Магазин 15 ПРОДУКТОВЫЙ,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О"&amp;"ДЕЖДА,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перео"&amp;"ценка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и"&amp;"нформация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22" s="4" t="str">
        <f ca="1">IFERROR(__xludf.DUMMYFUNCTION("""COMPUTED_VALUE"""),"Переход на Mobile SMARTS: Магазин 15 ПРОДУКТОВЫЙ, РАСШИРЕННЫЙ для конфигурации на базе «1С:Предприятия 8.3» ")</f>
        <v xml:space="preserve">Переход на Mobile SMARTS: Магазин 15 ПРОДУКТОВЫЙ, РАСШИРЕННЫЙ для конфигурации на базе «1С:Предприятия 8.3» </v>
      </c>
      <c r="F622" s="5">
        <f ca="1">IFERROR(__xludf.DUMMYFUNCTION("""COMPUTED_VALUE"""),9039)</f>
        <v>9039</v>
      </c>
    </row>
    <row r="623" spans="1:6" ht="44.25" customHeight="1" x14ac:dyDescent="0.2">
      <c r="A623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23" s="4" t="str">
        <f ca="1">IFERROR(__xludf.DUMMYFUNCTION("""COMPUTED_VALUE"""),"ПРОДУКТОВЫЙ, МЕГАМАРКЕТ")</f>
        <v>ПРОДУКТОВЫЙ, МЕГАМАРКЕТ</v>
      </c>
      <c r="C623" s="4" t="str">
        <f ca="1">IFERROR(__xludf.DUMMYFUNCTION("""COMPUTED_VALUE"""),"UP2-RTL15CG-1C83")</f>
        <v>UP2-RTL15CG-1C83</v>
      </c>
      <c r="D623" s="4" t="str">
        <f ca="1">IFERROR(__xludf.DUMMYFUNCTION("""COMPUTED_VALUE"""),"Переход на Mobile SMARTS: Магазин 15 ПРОДУКТОВЫЙ,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ОД"&amp;"ЕЖДА,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переоц"&amp;"енка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ко"&amp;"ллективная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23" s="4" t="str">
        <f ca="1">IFERROR(__xludf.DUMMYFUNCTION("""COMPUTED_VALUE"""),"Переход на Mobile SMARTS: Магазин 15 ПРОДУКТОВЫЙ, МЕГАМАРКЕТ для конфигурации на базе «1С:Предприятия 8.3» ")</f>
        <v xml:space="preserve">Переход на Mobile SMARTS: Магазин 15 ПРОДУКТОВЫЙ, МЕГАМАРКЕТ для конфигурации на базе «1С:Предприятия 8.3» </v>
      </c>
      <c r="F623" s="5">
        <f ca="1">IFERROR(__xludf.DUMMYFUNCTION("""COMPUTED_VALUE"""),15084.5)</f>
        <v>15084.5</v>
      </c>
    </row>
    <row r="624" spans="1:6" ht="44.25" customHeight="1" x14ac:dyDescent="0.2">
      <c r="A624" s="4"/>
      <c r="B624" s="4"/>
      <c r="C624" s="4" t="str">
        <f ca="1">IFERROR(__xludf.DUMMYFUNCTION("""COMPUTED_VALUE"""),"UP2-")</f>
        <v>UP2-</v>
      </c>
      <c r="D624" s="4" t="str">
        <f ca="1">IFERROR(__xludf.DUMMYFUNCTION("""COMPUTED_VALUE"""),"Переход на Лицензии не для 1С (самописки, SAP, Axapta и др.) (+2000р)")</f>
        <v>Переход на Лицензии не для 1С (самописки, SAP, Axapta и др.) (+2000р)</v>
      </c>
      <c r="E624" s="4" t="str">
        <f ca="1">IFERROR(__xludf.DUMMYFUNCTION("""COMPUTED_VALUE"""),"#VALUE!")</f>
        <v>#VALUE!</v>
      </c>
      <c r="F624" s="4" t="str">
        <f ca="1">IFERROR(__xludf.DUMMYFUNCTION("""COMPUTED_VALUE"""),"#N/A")</f>
        <v>#N/A</v>
      </c>
    </row>
    <row r="625" spans="1:6" ht="44.25" customHeight="1" x14ac:dyDescent="0.2">
      <c r="A625" s="4" t="str">
        <f ca="1">IFERROR(__xludf.DUMMYFUNCTION("""COMPUTED_VALUE"""),"интеграции через OLE/COM")</f>
        <v>интеграции через OLE/COM</v>
      </c>
      <c r="B625" s="4" t="str">
        <f ca="1">IFERROR(__xludf.DUMMYFUNCTION("""COMPUTED_VALUE"""),"МИНИМУМ")</f>
        <v>МИНИМУМ</v>
      </c>
      <c r="C625" s="4" t="str">
        <f ca="1">IFERROR(__xludf.DUMMYFUNCTION("""COMPUTED_VALUE"""),"UP2-RTL15M-OLE")</f>
        <v>UP2-RTL15M-OLE</v>
      </c>
      <c r="D625" s="4" t="str">
        <f ca="1">IFERROR(__xludf.DUMMYFUNCTION("""COMPUTED_VALUE"""),"Переход на Mobile SMARTS: Магазин 15, МИНИМУМ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оп"&amp;"ерации: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обнов"&amp;"ления на 1 (один) год")</f>
        <v>Переход на Mobile SMARTS: Магазин 15, МИНИМУМ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625" s="4" t="str">
        <f ca="1">IFERROR(__xludf.DUMMYFUNCTION("""COMPUTED_VALUE"""),"Переход на Mobile SMARTS: Магазин 15, МИНИМУМ для интеграции через OLE/COM ")</f>
        <v xml:space="preserve">Переход на Mobile SMARTS: Магазин 15, МИНИМУМ для интеграции через OLE/COM </v>
      </c>
      <c r="F625" s="5">
        <f ca="1">IFERROR(__xludf.DUMMYFUNCTION("""COMPUTED_VALUE"""),2725)</f>
        <v>2725</v>
      </c>
    </row>
    <row r="626" spans="1:6" ht="44.25" customHeight="1" x14ac:dyDescent="0.2">
      <c r="A626" s="4" t="str">
        <f ca="1">IFERROR(__xludf.DUMMYFUNCTION("""COMPUTED_VALUE"""),"интеграции через OLE/COM")</f>
        <v>интеграции через OLE/COM</v>
      </c>
      <c r="B626" s="4" t="str">
        <f ca="1">IFERROR(__xludf.DUMMYFUNCTION("""COMPUTED_VALUE"""),"БАЗОВЫЙ")</f>
        <v>БАЗОВЫЙ</v>
      </c>
      <c r="C626" s="4" t="str">
        <f ca="1">IFERROR(__xludf.DUMMYFUNCTION("""COMPUTED_VALUE"""),"UP2-RTL15A-OLE")</f>
        <v>UP2-RTL15A-OLE</v>
      </c>
      <c r="D626" s="4" t="str">
        <f ca="1">IFERROR(__xludf.DUMMYFUNCTION("""COMPUTED_VALUE"""),"Переход на Mobile SMARTS: Магазин 15, БАЗОВЫЙ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оп"&amp;"ерации: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БАЗОВЫЙ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6" s="4" t="str">
        <f ca="1">IFERROR(__xludf.DUMMYFUNCTION("""COMPUTED_VALUE"""),"Переход на Mobile SMARTS: Магазин 15, БАЗОВЫЙ для интеграции через OLE/COM ")</f>
        <v xml:space="preserve">Переход на Mobile SMARTS: Магазин 15, БАЗОВЫЙ для интеграции через OLE/COM </v>
      </c>
      <c r="F626" s="5">
        <f ca="1">IFERROR(__xludf.DUMMYFUNCTION("""COMPUTED_VALUE"""),5325)</f>
        <v>5325</v>
      </c>
    </row>
    <row r="627" spans="1:6" ht="44.25" customHeight="1" x14ac:dyDescent="0.2">
      <c r="A627" s="4" t="str">
        <f ca="1">IFERROR(__xludf.DUMMYFUNCTION("""COMPUTED_VALUE"""),"интеграции через OLE/COM")</f>
        <v>интеграции через OLE/COM</v>
      </c>
      <c r="B627" s="4" t="str">
        <f ca="1">IFERROR(__xludf.DUMMYFUNCTION("""COMPUTED_VALUE"""),"РАСШИРЕННЫЙ")</f>
        <v>РАСШИРЕННЫЙ</v>
      </c>
      <c r="C627" s="4" t="str">
        <f ca="1">IFERROR(__xludf.DUMMYFUNCTION("""COMPUTED_VALUE"""),"UP2-RTL15B-OLE")</f>
        <v>UP2-RTL15B-OLE</v>
      </c>
      <c r="D627" s="4" t="str">
        <f ca="1">IFERROR(__xludf.DUMMYFUNCTION("""COMPUTED_VALUE"""),"Переход на Mobile SMARTS: Магазин 15, РАСШИРЕННЫЙ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доступны"&amp;"е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РАСШИРЕННЫЙ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7" s="4" t="str">
        <f ca="1">IFERROR(__xludf.DUMMYFUNCTION("""COMPUTED_VALUE"""),"Переход на Mobile SMARTS: Магазин 15, РАСШИРЕННЫЙ для интеграции через OLE/COM ")</f>
        <v xml:space="preserve">Переход на Mobile SMARTS: Магазин 15, РАСШИРЕННЫЙ для интеграции через OLE/COM </v>
      </c>
      <c r="F627" s="5">
        <f ca="1">IFERROR(__xludf.DUMMYFUNCTION("""COMPUTED_VALUE"""),8525)</f>
        <v>8525</v>
      </c>
    </row>
    <row r="628" spans="1:6" ht="44.25" customHeight="1" x14ac:dyDescent="0.2">
      <c r="A628" s="4" t="str">
        <f ca="1">IFERROR(__xludf.DUMMYFUNCTION("""COMPUTED_VALUE"""),"интеграции через OLE/COM")</f>
        <v>интеграции через OLE/COM</v>
      </c>
      <c r="B628" s="4" t="str">
        <f ca="1">IFERROR(__xludf.DUMMYFUNCTION("""COMPUTED_VALUE"""),"МЕГАМАРКЕТ")</f>
        <v>МЕГАМАРКЕТ</v>
      </c>
      <c r="C628" s="4" t="str">
        <f ca="1">IFERROR(__xludf.DUMMYFUNCTION("""COMPUTED_VALUE"""),"UP2-RTL15C-OLE")</f>
        <v>UP2-RTL15C-OLE</v>
      </c>
      <c r="D628" s="4" t="str">
        <f ca="1">IFERROR(__xludf.DUMMYFUNCTION("""COMPUTED_VALUE"""),"Переход на Mobile SMARTS: Магазин 15, МЕГАМАРКЕТ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доступные"&amp;"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"&amp;"контрагентах,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МЕГАМАРКЕТ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28" s="4" t="str">
        <f ca="1">IFERROR(__xludf.DUMMYFUNCTION("""COMPUTED_VALUE"""),"Переход на Mobile SMARTS: Магазин 15, МЕГАМАРКЕТ для интеграции через OLE/COM ")</f>
        <v xml:space="preserve">Переход на Mobile SMARTS: Магазин 15, МЕГАМАРКЕТ для интеграции через OLE/COM </v>
      </c>
      <c r="F628" s="5">
        <f ca="1">IFERROR(__xludf.DUMMYFUNCTION("""COMPUTED_VALUE"""),11775)</f>
        <v>11775</v>
      </c>
    </row>
    <row r="629" spans="1:6" ht="44.25" customHeight="1" x14ac:dyDescent="0.2">
      <c r="A629" s="4" t="str">
        <f ca="1">IFERROR(__xludf.DUMMYFUNCTION("""COMPUTED_VALUE"""),"интеграции через OLE/COM")</f>
        <v>интеграции через OLE/COM</v>
      </c>
      <c r="B629" s="4" t="str">
        <f ca="1">IFERROR(__xludf.DUMMYFUNCTION("""COMPUTED_VALUE"""),"с ЕГАИС, БАЗОВЫЙ")</f>
        <v>с ЕГАИС, БАЗОВЫЙ</v>
      </c>
      <c r="C629" s="4" t="str">
        <f ca="1">IFERROR(__xludf.DUMMYFUNCTION("""COMPUTED_VALUE"""),"UP2-RTL15AE-OLE")</f>
        <v>UP2-RTL15AE-OLE</v>
      </c>
      <c r="D629" s="4" t="str">
        <f ca="1">IFERROR(__xludf.DUMMYFUNCTION("""COMPUTED_VALUE"""),"Переход на Mobile SMARTS: Магазин 15 с ЕГАИС, БАЗОВЫЙ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беспров"&amp;"одной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печат"&amp;"ь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ЕГАИС, БАЗОВЫЙ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29" s="4" t="str">
        <f ca="1">IFERROR(__xludf.DUMMYFUNCTION("""COMPUTED_VALUE"""),"Переход на Mobile SMARTS: Магазин 15 с ЕГАИС, БАЗОВЫЙ для интеграции через OLE/COM ")</f>
        <v xml:space="preserve">Переход на Mobile SMARTS: Магазин 15 с ЕГАИС, БАЗОВЫЙ для интеграции через OLE/COM </v>
      </c>
      <c r="F629" s="5">
        <f ca="1">IFERROR(__xludf.DUMMYFUNCTION("""COMPUTED_VALUE"""),6500)</f>
        <v>6500</v>
      </c>
    </row>
    <row r="630" spans="1:6" ht="44.25" customHeight="1" x14ac:dyDescent="0.2">
      <c r="A630" s="4" t="str">
        <f ca="1">IFERROR(__xludf.DUMMYFUNCTION("""COMPUTED_VALUE"""),"интеграции через OLE/COM")</f>
        <v>интеграции через OLE/COM</v>
      </c>
      <c r="B630" s="4" t="str">
        <f ca="1">IFERROR(__xludf.DUMMYFUNCTION("""COMPUTED_VALUE"""),"с ЕГАИС, РАСШИРЕННЫЙ")</f>
        <v>с ЕГАИС, РАСШИРЕННЫЙ</v>
      </c>
      <c r="C630" s="4" t="str">
        <f ca="1">IFERROR(__xludf.DUMMYFUNCTION("""COMPUTED_VALUE"""),"UP2-RTL15BE-OLE")</f>
        <v>UP2-RTL15BE-OLE</v>
      </c>
      <c r="D630" s="4" t="str">
        <f ca="1">IFERROR(__xludf.DUMMYFUNCTION("""COMPUTED_VALUE"""),"Переход на Mobile SMARTS: Магазин 15 с ЕГАИС, РАСШИРЕННЫЙ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бес"&amp;"проводной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п"&amp;"ечать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(один"&amp;") год")</f>
        <v>Переход на Mobile SMARTS: Магазин 15 с ЕГАИС, РАСШИРЕННЫЙ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0" s="4" t="str">
        <f ca="1">IFERROR(__xludf.DUMMYFUNCTION("""COMPUTED_VALUE"""),"Переход на Mobile SMARTS: Магазин 15 с ЕГАИС, РАСШИРЕННЫЙ для интеграции через OLE/COM ")</f>
        <v xml:space="preserve">Переход на Mobile SMARTS: Магазин 15 с ЕГАИС, РАСШИРЕННЫЙ для интеграции через OLE/COM </v>
      </c>
      <c r="F630" s="5">
        <f ca="1">IFERROR(__xludf.DUMMYFUNCTION("""COMPUTED_VALUE"""),9725)</f>
        <v>9725</v>
      </c>
    </row>
    <row r="631" spans="1:6" ht="44.25" customHeight="1" x14ac:dyDescent="0.2">
      <c r="A631" s="4" t="str">
        <f ca="1">IFERROR(__xludf.DUMMYFUNCTION("""COMPUTED_VALUE"""),"интеграции через OLE/COM")</f>
        <v>интеграции через OLE/COM</v>
      </c>
      <c r="B631" s="4" t="str">
        <f ca="1">IFERROR(__xludf.DUMMYFUNCTION("""COMPUTED_VALUE"""),"с ЕГАИС (без CheckMark2), МЕГАМАРКЕТ")</f>
        <v>с ЕГАИС (без CheckMark2), МЕГАМАРКЕТ</v>
      </c>
      <c r="C631" s="4" t="str">
        <f ca="1">IFERROR(__xludf.DUMMYFUNCTION("""COMPUTED_VALUE"""),"UP2-RTL15CEV-OLE")</f>
        <v>UP2-RTL15CEV-OLE</v>
      </c>
      <c r="D631" s="4" t="str">
        <f ca="1">IFERROR(__xludf.DUMMYFUNCTION("""COMPUTED_VALUE"""),"Переход на Mobile SMARTS: Магазин 15 с ЕГАИС (без CheckMark2), МЕГАМАРКЕТ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п"&amp;"роводной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"&amp;"/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устройств"&amp;"о, подписка на обновления на 1 (один) год")</f>
        <v>Переход на Mobile SMARTS: Магазин 15 с ЕГАИС (без CheckMark2), МЕГАМАРКЕТ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1" s="4" t="str">
        <f ca="1">IFERROR(__xludf.DUMMYFUNCTION("""COMPUTED_VALUE"""),"Переход на Mobile SMARTS: Магазин 15 с ЕГАИС (без CheckMark2), МЕГАМАРКЕТ для интеграции через OLE/COM ")</f>
        <v xml:space="preserve">Переход на Mobile SMARTS: Магазин 15 с ЕГАИС (без CheckMark2), МЕГАМАРКЕТ для интеграции через OLE/COM </v>
      </c>
      <c r="F631" s="5">
        <f ca="1">IFERROR(__xludf.DUMMYFUNCTION("""COMPUTED_VALUE"""),12925)</f>
        <v>12925</v>
      </c>
    </row>
    <row r="632" spans="1:6" ht="44.25" customHeight="1" x14ac:dyDescent="0.2">
      <c r="A632" s="4" t="str">
        <f ca="1">IFERROR(__xludf.DUMMYFUNCTION("""COMPUTED_VALUE"""),"интеграции через OLE/COM")</f>
        <v>интеграции через OLE/COM</v>
      </c>
      <c r="B632" s="4" t="str">
        <f ca="1">IFERROR(__xludf.DUMMYFUNCTION("""COMPUTED_VALUE"""),"с МОТП, БАЗОВЫЙ")</f>
        <v>с МОТП, БАЗОВЫЙ</v>
      </c>
      <c r="C632" s="4" t="str">
        <f ca="1">IFERROR(__xludf.DUMMYFUNCTION("""COMPUTED_VALUE"""),"UP2-RTL15AT-OLE")</f>
        <v>UP2-RTL15AT-OLE</v>
      </c>
      <c r="D632" s="4" t="str">
        <f ca="1">IFERROR(__xludf.DUMMYFUNCTION("""COMPUTED_VALUE"""),"Переход на Mobile SMARTS: Магазин 15 с МОТП, БАЗОВЫЙ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обм"&amp;"ен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наст"&amp;"ройки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МОТП, БАЗОВЫЙ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2" s="4" t="str">
        <f ca="1">IFERROR(__xludf.DUMMYFUNCTION("""COMPUTED_VALUE"""),"Переход на Mobile SMARTS: Магазин 15 с МОТП, БАЗОВЫЙ для интеграции через OLE/COM ")</f>
        <v xml:space="preserve">Переход на Mobile SMARTS: Магазин 15 с МОТП, БАЗОВЫЙ для интеграции через OLE/COM </v>
      </c>
      <c r="F632" s="5">
        <f ca="1">IFERROR(__xludf.DUMMYFUNCTION("""COMPUTED_VALUE"""),6575)</f>
        <v>6575</v>
      </c>
    </row>
    <row r="633" spans="1:6" ht="44.25" customHeight="1" x14ac:dyDescent="0.2">
      <c r="A633" s="4" t="str">
        <f ca="1">IFERROR(__xludf.DUMMYFUNCTION("""COMPUTED_VALUE"""),"интеграции через OLE/COM")</f>
        <v>интеграции через OLE/COM</v>
      </c>
      <c r="B633" s="4" t="str">
        <f ca="1">IFERROR(__xludf.DUMMYFUNCTION("""COMPUTED_VALUE"""),"с МОТП, РАСШИРЕННЫЙ")</f>
        <v>с МОТП, РАСШИРЕННЫЙ</v>
      </c>
      <c r="C633" s="4" t="str">
        <f ca="1">IFERROR(__xludf.DUMMYFUNCTION("""COMPUTED_VALUE"""),"UP2-RTL15BT-OLE")</f>
        <v>UP2-RTL15BT-OLE</v>
      </c>
      <c r="D633" s="4" t="str">
        <f ca="1">IFERROR(__xludf.DUMMYFUNCTION("""COMPUTED_VALUE"""),"Переход на Mobile SMARTS: Магазин 15 с МОТП, РАСШИРЕННЫЙ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беспроводной"&amp;"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"&amp;"настройки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г"&amp;"од")</f>
        <v>Переход на Mobile SMARTS: Магазин 15 с МОТП, РАСШИРЕННЫЙ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3" s="4" t="str">
        <f ca="1">IFERROR(__xludf.DUMMYFUNCTION("""COMPUTED_VALUE"""),"Переход на Mobile SMARTS: Магазин 15 с МОТП, РАСШИРЕННЫЙ для интеграции через OLE/COM ")</f>
        <v xml:space="preserve">Переход на Mobile SMARTS: Магазин 15 с МОТП, РАСШИРЕННЫЙ для интеграции через OLE/COM </v>
      </c>
      <c r="F633" s="5">
        <f ca="1">IFERROR(__xludf.DUMMYFUNCTION("""COMPUTED_VALUE"""),9725)</f>
        <v>9725</v>
      </c>
    </row>
    <row r="634" spans="1:6" ht="44.25" customHeight="1" x14ac:dyDescent="0.2">
      <c r="A634" s="4" t="str">
        <f ca="1">IFERROR(__xludf.DUMMYFUNCTION("""COMPUTED_VALUE"""),"интеграции через OLE/COM")</f>
        <v>интеграции через OLE/COM</v>
      </c>
      <c r="B634" s="4" t="str">
        <f ca="1">IFERROR(__xludf.DUMMYFUNCTION("""COMPUTED_VALUE"""),"с МОТП, МЕГАМАРКЕТ")</f>
        <v>с МОТП, МЕГАМАРКЕТ</v>
      </c>
      <c r="C634" s="4" t="str">
        <f ca="1">IFERROR(__xludf.DUMMYFUNCTION("""COMPUTED_VALUE"""),"UP2-RTL15CT-OLE")</f>
        <v>UP2-RTL15CT-OLE</v>
      </c>
      <c r="D634" s="4" t="str">
        <f ca="1">IFERROR(__xludf.DUMMYFUNCTION("""COMPUTED_VALUE"""),"Переход на Mobile SMARTS: Магазин 15 с МОТП, МЕГАМАРКЕТ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"&amp;"обмен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н"&amp;"астройки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на 1 (один) год")</f>
        <v>Переход на Mobile SMARTS: Магазин 15 с МОТП, МЕГАМАРКЕТ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4" s="4" t="str">
        <f ca="1">IFERROR(__xludf.DUMMYFUNCTION("""COMPUTED_VALUE"""),"Переход на Mobile SMARTS: Магазин 15 с МОТП, МЕГАМАРКЕТ для интеграции через OLE/COM ")</f>
        <v xml:space="preserve">Переход на Mobile SMARTS: Магазин 15 с МОТП, МЕГАМАРКЕТ для интеграции через OLE/COM </v>
      </c>
      <c r="F634" s="5">
        <f ca="1">IFERROR(__xludf.DUMMYFUNCTION("""COMPUTED_VALUE"""),12925)</f>
        <v>12925</v>
      </c>
    </row>
    <row r="635" spans="1:6" ht="44.25" customHeight="1" x14ac:dyDescent="0.2">
      <c r="A635" s="4" t="str">
        <f ca="1">IFERROR(__xludf.DUMMYFUNCTION("""COMPUTED_VALUE"""),"интеграции через OLE/COM")</f>
        <v>интеграции через OLE/COM</v>
      </c>
      <c r="B635" s="4" t="str">
        <f ca="1">IFERROR(__xludf.DUMMYFUNCTION("""COMPUTED_VALUE"""),"с ЕГАИС и МОТП, БАЗОВЫЙ")</f>
        <v>с ЕГАИС и МОТП, БАЗОВЫЙ</v>
      </c>
      <c r="C635" s="4" t="str">
        <f ca="1">IFERROR(__xludf.DUMMYFUNCTION("""COMPUTED_VALUE"""),"UP2-RTL15AET-OLE")</f>
        <v>UP2-RTL15AET-OLE</v>
      </c>
      <c r="D635" s="4" t="str">
        <f ca="1">IFERROR(__xludf.DUMMYFUNCTION("""COMPUTED_VALUE"""),"Переход на Mobile SMARTS: Магазин 15 с ЕГАИС и МОТП, БАЗОВЫЙ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выб"&amp;"ор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во"&amp;"зврат,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БАЗОВЫЙ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5" s="4" t="str">
        <f ca="1">IFERROR(__xludf.DUMMYFUNCTION("""COMPUTED_VALUE"""),"Переход на Mobile SMARTS: Магазин 15 с ЕГАИС и МОТП, БАЗОВЫЙ для интеграции через OLE/COM ")</f>
        <v xml:space="preserve">Переход на Mobile SMARTS: Магазин 15 с ЕГАИС и МОТП, БАЗОВЫЙ для интеграции через OLE/COM </v>
      </c>
      <c r="F635" s="5">
        <f ca="1">IFERROR(__xludf.DUMMYFUNCTION("""COMPUTED_VALUE"""),7075)</f>
        <v>7075</v>
      </c>
    </row>
    <row r="636" spans="1:6" ht="44.25" customHeight="1" x14ac:dyDescent="0.2">
      <c r="A636" s="4" t="str">
        <f ca="1">IFERROR(__xludf.DUMMYFUNCTION("""COMPUTED_VALUE"""),"интеграции через OLE/COM")</f>
        <v>интеграции через OLE/COM</v>
      </c>
      <c r="B636" s="4" t="str">
        <f ca="1">IFERROR(__xludf.DUMMYFUNCTION("""COMPUTED_VALUE"""),"с ЕГАИС и МОТП, РАСШИРЕННЫЙ")</f>
        <v>с ЕГАИС и МОТП, РАСШИРЕННЫЙ</v>
      </c>
      <c r="C636" s="4" t="str">
        <f ca="1">IFERROR(__xludf.DUMMYFUNCTION("""COMPUTED_VALUE"""),"UP2-RTL15BET-OLE")</f>
        <v>UP2-RTL15BET-OLE</v>
      </c>
      <c r="D636" s="4" t="str">
        <f ca="1">IFERROR(__xludf.DUMMYFUNCTION("""COMPUTED_VALUE"""),"Переход на Mobile SMARTS: Магазин 15 с ЕГАИС и МОТП, РАСШИРЕННЫЙ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на"&amp;"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списание"&amp;",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РАСШИРЕННЫЙ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6" s="4" t="str">
        <f ca="1">IFERROR(__xludf.DUMMYFUNCTION("""COMPUTED_VALUE"""),"Переход на Mobile SMARTS: Магазин 15 с ЕГАИС и МОТП, РАСШИРЕННЫЙ для интеграции через OLE/COM ")</f>
        <v xml:space="preserve">Переход на Mobile SMARTS: Магазин 15 с ЕГАИС и МОТП, РАСШИРЕННЫЙ для интеграции через OLE/COM </v>
      </c>
      <c r="F636" s="5">
        <f ca="1">IFERROR(__xludf.DUMMYFUNCTION("""COMPUTED_VALUE"""),10275)</f>
        <v>10275</v>
      </c>
    </row>
    <row r="637" spans="1:6" ht="44.25" customHeight="1" x14ac:dyDescent="0.2">
      <c r="A637" s="4" t="str">
        <f ca="1">IFERROR(__xludf.DUMMYFUNCTION("""COMPUTED_VALUE"""),"интеграции через OLE/COM")</f>
        <v>интеграции через OLE/COM</v>
      </c>
      <c r="B637" s="4" t="str">
        <f ca="1">IFERROR(__xludf.DUMMYFUNCTION("""COMPUTED_VALUE"""),"с ЕГАИС и МОТП, МЕГАМАРКЕТ")</f>
        <v>с ЕГАИС и МОТП, МЕГАМАРКЕТ</v>
      </c>
      <c r="C637" s="4" t="str">
        <f ca="1">IFERROR(__xludf.DUMMYFUNCTION("""COMPUTED_VALUE"""),"UP2-RTL15CET-OLE")</f>
        <v>UP2-RTL15CET-OLE</v>
      </c>
      <c r="D637" s="4" t="str">
        <f ca="1">IFERROR(__xludf.DUMMYFUNCTION("""COMPUTED_VALUE"""),"Переход на Mobile SMARTS: Магазин 15 с ЕГАИС и МОТП, МЕГАМАРКЕТ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"&amp;"выбор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списание,"&amp;"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контра"&amp;"гентах,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МЕГАМАРКЕТ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7" s="4" t="str">
        <f ca="1">IFERROR(__xludf.DUMMYFUNCTION("""COMPUTED_VALUE"""),"Переход на Mobile SMARTS: Магазин 15 с ЕГАИС и МОТП, МЕГАМАРКЕТ для интеграции через OLE/COM ")</f>
        <v xml:space="preserve">Переход на Mobile SMARTS: Магазин 15 с ЕГАИС и МОТП, МЕГАМАРКЕТ для интеграции через OLE/COM </v>
      </c>
      <c r="F637" s="5">
        <f ca="1">IFERROR(__xludf.DUMMYFUNCTION("""COMPUTED_VALUE"""),14175)</f>
        <v>14175</v>
      </c>
    </row>
    <row r="638" spans="1:6" ht="44.25" customHeight="1" x14ac:dyDescent="0.2">
      <c r="A638" s="4" t="str">
        <f ca="1">IFERROR(__xludf.DUMMYFUNCTION("""COMPUTED_VALUE"""),"интеграции через OLE/COM")</f>
        <v>интеграции через OLE/COM</v>
      </c>
      <c r="B638" s="4" t="str">
        <f ca="1">IFERROR(__xludf.DUMMYFUNCTION("""COMPUTED_VALUE"""),"ШМОТКИ, БАЗОВЫЙ")</f>
        <v>ШМОТКИ, БАЗОВЫЙ</v>
      </c>
      <c r="C638" s="4" t="str">
        <f ca="1">IFERROR(__xludf.DUMMYFUNCTION("""COMPUTED_VALUE"""),"UP2-RTL15AK-OLE")</f>
        <v>UP2-RTL15AK-OLE</v>
      </c>
      <c r="D638" s="4" t="str">
        <f ca="1">IFERROR(__xludf.DUMMYFUNCTION("""COMPUTED_VALUE"""),"Переход на Mobile SMARTS: Магазин 15 с КИРОВКОЙ, БАЗОВЫЙ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"&amp;"проводной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штрихкодо"&amp;"в,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н"&amp;"а обновления на 1 (один) год")</f>
        <v>Переход на Mobile SMARTS: Магазин 15 с КИРОВКОЙ, БАЗОВЫЙ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8" s="4" t="str">
        <f ca="1">IFERROR(__xludf.DUMMYFUNCTION("""COMPUTED_VALUE"""),"Переход на Mobile SMARTS: Магазин 15 с КИРОВКОЙ, БАЗОВЫЙ для интеграции через OLE/COM ")</f>
        <v xml:space="preserve">Переход на Mobile SMARTS: Магазин 15 с КИРОВКОЙ, БАЗОВЫЙ для интеграции через OLE/COM </v>
      </c>
      <c r="F638" s="5">
        <f ca="1">IFERROR(__xludf.DUMMYFUNCTION("""COMPUTED_VALUE"""),7075)</f>
        <v>7075</v>
      </c>
    </row>
    <row r="639" spans="1:6" ht="44.25" customHeight="1" x14ac:dyDescent="0.2">
      <c r="A639" s="4" t="str">
        <f ca="1">IFERROR(__xludf.DUMMYFUNCTION("""COMPUTED_VALUE"""),"интеграции через OLE/COM")</f>
        <v>интеграции через OLE/COM</v>
      </c>
      <c r="B639" s="4" t="str">
        <f ca="1">IFERROR(__xludf.DUMMYFUNCTION("""COMPUTED_VALUE"""),"ШМОТКИ, РАСШИРЕННЫЙ")</f>
        <v>ШМОТКИ, РАСШИРЕННЫЙ</v>
      </c>
      <c r="C639" s="4" t="str">
        <f ca="1">IFERROR(__xludf.DUMMYFUNCTION("""COMPUTED_VALUE"""),"UP2-RTL15BK-OLE")</f>
        <v>UP2-RTL15BK-OLE</v>
      </c>
      <c r="D639" s="4" t="str">
        <f ca="1">IFERROR(__xludf.DUMMYFUNCTION("""COMPUTED_VALUE"""),"Переход на Mobile SMARTS: Магазин 15 с КИРОВКОЙ, РАСШИРЕННЫЙ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вы"&amp;"бор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штрих"&amp;"кодов,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подпис"&amp;"ка на обновления на 1 (один) год")</f>
        <v>Переход на Mobile SMARTS: Магазин 15 с КИРОВКОЙ, РАСШИРЕННЫЙ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39" s="4" t="str">
        <f ca="1">IFERROR(__xludf.DUMMYFUNCTION("""COMPUTED_VALUE"""),"Переход на Mobile SMARTS: Магазин 15 с КИРОВКОЙ, РАСШИРЕННЫЙ для интеграции через OLE/COM ")</f>
        <v xml:space="preserve">Переход на Mobile SMARTS: Магазин 15 с КИРОВКОЙ, РАСШИРЕННЫЙ для интеграции через OLE/COM </v>
      </c>
      <c r="F639" s="5">
        <f ca="1">IFERROR(__xludf.DUMMYFUNCTION("""COMPUTED_VALUE"""),10275)</f>
        <v>10275</v>
      </c>
    </row>
    <row r="640" spans="1:6" ht="44.25" customHeight="1" x14ac:dyDescent="0.2">
      <c r="A640" s="4" t="str">
        <f ca="1">IFERROR(__xludf.DUMMYFUNCTION("""COMPUTED_VALUE"""),"интеграции через OLE/COM")</f>
        <v>интеграции через OLE/COM</v>
      </c>
      <c r="B640" s="4" t="str">
        <f ca="1">IFERROR(__xludf.DUMMYFUNCTION("""COMPUTED_VALUE"""),"ШМОТКИ, МЕГАМАРКЕТ")</f>
        <v>ШМОТКИ, МЕГАМАРКЕТ</v>
      </c>
      <c r="C640" s="4" t="str">
        <f ca="1">IFERROR(__xludf.DUMMYFUNCTION("""COMPUTED_VALUE"""),"UP2-RTL15CK-OLE")</f>
        <v>UP2-RTL15CK-OLE</v>
      </c>
      <c r="D640" s="4" t="str">
        <f ca="1">IFERROR(__xludf.DUMMYFUNCTION("""COMPUTED_VALUE"""),"Переход на Mobile SMARTS: Магазин 15 с КИРОВКОЙ, МЕГАМАРКЕТ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выб"&amp;"ор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штрихк"&amp;"одов,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моб"&amp;". устройство, подписка на обновления на 1 (один) год")</f>
        <v>Переход на Mobile SMARTS: Магазин 15 с КИРОВКОЙ, МЕГАМАРКЕТ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0" s="4" t="str">
        <f ca="1">IFERROR(__xludf.DUMMYFUNCTION("""COMPUTED_VALUE"""),"Переход на Mobile SMARTS: Магазин 15 с КИРОВКОЙ, МЕГАМАРКЕТ для интеграции через OLE/COM ")</f>
        <v xml:space="preserve">Переход на Mobile SMARTS: Магазин 15 с КИРОВКОЙ, МЕГАМАРКЕТ для интеграции через OLE/COM </v>
      </c>
      <c r="F640" s="5">
        <f ca="1">IFERROR(__xludf.DUMMYFUNCTION("""COMPUTED_VALUE"""),14175)</f>
        <v>14175</v>
      </c>
    </row>
    <row r="641" spans="1:6" ht="44.25" customHeight="1" x14ac:dyDescent="0.2">
      <c r="A641" s="4" t="str">
        <f ca="1">IFERROR(__xludf.DUMMYFUNCTION("""COMPUTED_VALUE"""),"интеграции через OLE/COM")</f>
        <v>интеграции через OLE/COM</v>
      </c>
      <c r="B641" s="4" t="str">
        <f ca="1">IFERROR(__xludf.DUMMYFUNCTION("""COMPUTED_VALUE"""),"с МДЛП, БАЗОВЫЙ")</f>
        <v>с МДЛП, БАЗОВЫЙ</v>
      </c>
      <c r="C641" s="4" t="str">
        <f ca="1">IFERROR(__xludf.DUMMYFUNCTION("""COMPUTED_VALUE"""),"UP2-RTL15AL-OLE")</f>
        <v>UP2-RTL15AL-OLE</v>
      </c>
      <c r="D641" s="4" t="str">
        <f ca="1">IFERROR(__xludf.DUMMYFUNCTION("""COMPUTED_VALUE"""),"Переход на Mobile SMARTS: Магазин 15 с МДЛП, БАЗОВЫЙ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или"&amp;"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с"&amp;"правочников,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"&amp;"на 1 (один) год")</f>
        <v>Переход на Mobile SMARTS: Магазин 15 с МДЛП, БАЗОВЫЙ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1" s="4" t="str">
        <f ca="1">IFERROR(__xludf.DUMMYFUNCTION("""COMPUTED_VALUE"""),"Переход на Mobile SMARTS: Магазин 15 с МДЛП, БАЗОВЫЙ для интеграции через OLE/COM ")</f>
        <v xml:space="preserve">Переход на Mobile SMARTS: Магазин 15 с МДЛП, БАЗОВЫЙ для интеграции через OLE/COM </v>
      </c>
      <c r="F641" s="5">
        <f ca="1">IFERROR(__xludf.DUMMYFUNCTION("""COMPUTED_VALUE"""),5229)</f>
        <v>5229</v>
      </c>
    </row>
    <row r="642" spans="1:6" ht="44.25" customHeight="1" x14ac:dyDescent="0.2">
      <c r="A642" s="4" t="str">
        <f ca="1">IFERROR(__xludf.DUMMYFUNCTION("""COMPUTED_VALUE"""),"интеграции через OLE/COM")</f>
        <v>интеграции через OLE/COM</v>
      </c>
      <c r="B642" s="4" t="str">
        <f ca="1">IFERROR(__xludf.DUMMYFUNCTION("""COMPUTED_VALUE"""),"с МДЛП, РАСШИРЕННЫЙ")</f>
        <v>с МДЛП, РАСШИРЕННЫЙ</v>
      </c>
      <c r="C642" s="4" t="str">
        <f ca="1">IFERROR(__xludf.DUMMYFUNCTION("""COMPUTED_VALUE"""),"UP2-RTL15BL-OLE")</f>
        <v>UP2-RTL15BL-OLE</v>
      </c>
      <c r="D642" s="4" t="str">
        <f ca="1">IFERROR(__xludf.DUMMYFUNCTION("""COMPUTED_VALUE"""),"Переход на Mobile SMARTS: Магазин 15 с МДЛП, РАСШИРЕННЫЙ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проводной"&amp;"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просмо"&amp;"тр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обновле"&amp;"ния на 1 (один) год")</f>
        <v>Переход на Mobile SMARTS: Магазин 15 с МДЛП, РАСШИРЕННЫЙ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2" s="4" t="str">
        <f ca="1">IFERROR(__xludf.DUMMYFUNCTION("""COMPUTED_VALUE"""),"Переход на Mobile SMARTS: Магазин 15 с МДЛП, РАСШИРЕННЫЙ для интеграции через OLE/COM ")</f>
        <v xml:space="preserve">Переход на Mobile SMARTS: Магазин 15 с МДЛП, РАСШИРЕННЫЙ для интеграции через OLE/COM </v>
      </c>
      <c r="F642" s="5">
        <f ca="1">IFERROR(__xludf.DUMMYFUNCTION("""COMPUTED_VALUE"""),7689)</f>
        <v>7689</v>
      </c>
    </row>
    <row r="643" spans="1:6" ht="44.25" customHeight="1" x14ac:dyDescent="0.2">
      <c r="A643" s="4" t="str">
        <f ca="1">IFERROR(__xludf.DUMMYFUNCTION("""COMPUTED_VALUE"""),"интеграции через OLE/COM")</f>
        <v>интеграции через OLE/COM</v>
      </c>
      <c r="B643" s="4" t="str">
        <f ca="1">IFERROR(__xludf.DUMMYFUNCTION("""COMPUTED_VALUE"""),"с МДЛП, МЕГАМАРКЕТ")</f>
        <v>с МДЛП, МЕГАМАРКЕТ</v>
      </c>
      <c r="C643" s="4" t="str">
        <f ca="1">IFERROR(__xludf.DUMMYFUNCTION("""COMPUTED_VALUE"""),"UP2-RTL15CL-OLE")</f>
        <v>UP2-RTL15CL-OLE</v>
      </c>
      <c r="D643" s="4" t="str">
        <f ca="1">IFERROR(__xludf.DUMMYFUNCTION("""COMPUTED_VALUE"""),"Переход на Mobile SMARTS: Магазин 15 с МДЛП, МЕГАМАРКЕТ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"&amp;"или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просмот"&amp;"р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устройство,"&amp;" подписка на обновления на 1 (один) год")</f>
        <v>Переход на Mobile SMARTS: Магазин 15 с МДЛП, МЕГАМАРКЕТ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3" s="4" t="str">
        <f ca="1">IFERROR(__xludf.DUMMYFUNCTION("""COMPUTED_VALUE"""),"Переход на Mobile SMARTS: Магазин 15 с МДЛП, МЕГАМАРКЕТ для интеграции через OLE/COM ")</f>
        <v xml:space="preserve">Переход на Mobile SMARTS: Магазин 15 с МДЛП, МЕГАМАРКЕТ для интеграции через OLE/COM </v>
      </c>
      <c r="F643" s="5">
        <f ca="1">IFERROR(__xludf.DUMMYFUNCTION("""COMPUTED_VALUE"""),11349)</f>
        <v>11349</v>
      </c>
    </row>
    <row r="644" spans="1:6" ht="44.25" customHeight="1" x14ac:dyDescent="0.2">
      <c r="A644" s="4" t="str">
        <f ca="1">IFERROR(__xludf.DUMMYFUNCTION("""COMPUTED_VALUE"""),"интеграции через OLE/COM")</f>
        <v>интеграции через OLE/COM</v>
      </c>
      <c r="B644" s="4" t="str">
        <f ca="1">IFERROR(__xludf.DUMMYFUNCTION("""COMPUTED_VALUE"""),"ПРОДУКТОВЫЙ, БАЗОВЫЙ")</f>
        <v>ПРОДУКТОВЫЙ, БАЗОВЫЙ</v>
      </c>
      <c r="C644" s="4" t="str">
        <f ca="1">IFERROR(__xludf.DUMMYFUNCTION("""COMPUTED_VALUE"""),"UP2-RTL15AG-OLE")</f>
        <v>UP2-RTL15AG-OLE</v>
      </c>
      <c r="D644" s="4" t="str">
        <f ca="1">IFERROR(__xludf.DUMMYFUNCTION("""COMPUTED_VALUE"""),"Переход на Mobile SMARTS: Магазин 15 ПРОДУКТОВЫЙ, БАЗОВЫЙ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ПАРФЮМ,"&amp;"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печат"&amp;"ью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с"&amp;"кладах,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44" s="4" t="str">
        <f ca="1">IFERROR(__xludf.DUMMYFUNCTION("""COMPUTED_VALUE"""),"Переход на Mobile SMARTS: Магазин 15 ПРОДУКТОВЫЙ, БАЗОВЫЙ для интеграции через OLE/COM ")</f>
        <v xml:space="preserve">Переход на Mobile SMARTS: Магазин 15 ПРОДУКТОВЫЙ, БАЗОВЫЙ для интеграции через OLE/COM </v>
      </c>
      <c r="F644" s="5">
        <f ca="1">IFERROR(__xludf.DUMMYFUNCTION("""COMPUTED_VALUE"""),6579)</f>
        <v>6579</v>
      </c>
    </row>
    <row r="645" spans="1:6" ht="44.25" customHeight="1" x14ac:dyDescent="0.2">
      <c r="A645" s="4" t="str">
        <f ca="1">IFERROR(__xludf.DUMMYFUNCTION("""COMPUTED_VALUE"""),"интеграции через OLE/COM")</f>
        <v>интеграции через OLE/COM</v>
      </c>
      <c r="B645" s="4" t="str">
        <f ca="1">IFERROR(__xludf.DUMMYFUNCTION("""COMPUTED_VALUE"""),"ПРОДУКТОВЫЙ, РАСШИРЕННЫЙ")</f>
        <v>ПРОДУКТОВЫЙ, РАСШИРЕННЫЙ</v>
      </c>
      <c r="C645" s="4" t="str">
        <f ca="1">IFERROR(__xludf.DUMMYFUNCTION("""COMPUTED_VALUE"""),"UP2-RTL15BG-OLE")</f>
        <v>UP2-RTL15BG-OLE</v>
      </c>
      <c r="D645" s="4" t="str">
        <f ca="1">IFERROR(__xludf.DUMMYFUNCTION("""COMPUTED_VALUE"""),"Переход на Mobile SMARTS: Магазин 15 ПРОДУКТОВЫЙ, РАСШИРЕННЫЙ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ПАР"&amp;"ФЮМ,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п"&amp;"ечатью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товар"&amp;"е,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45" s="4" t="str">
        <f ca="1">IFERROR(__xludf.DUMMYFUNCTION("""COMPUTED_VALUE"""),"Переход на Mobile SMARTS: Магазин 15 ПРОДУКТОВЫЙ, РАСШИРЕННЫЙ для интеграции через OLE/COM ")</f>
        <v xml:space="preserve">Переход на Mobile SMARTS: Магазин 15 ПРОДУКТОВЫЙ, РАСШИРЕННЫЙ для интеграции через OLE/COM </v>
      </c>
      <c r="F645" s="5">
        <f ca="1">IFERROR(__xludf.DUMMYFUNCTION("""COMPUTED_VALUE"""),9039)</f>
        <v>9039</v>
      </c>
    </row>
    <row r="646" spans="1:6" ht="44.25" customHeight="1" x14ac:dyDescent="0.2">
      <c r="A646" s="4" t="str">
        <f ca="1">IFERROR(__xludf.DUMMYFUNCTION("""COMPUTED_VALUE"""),"интеграции через OLE/COM")</f>
        <v>интеграции через OLE/COM</v>
      </c>
      <c r="B646" s="4" t="str">
        <f ca="1">IFERROR(__xludf.DUMMYFUNCTION("""COMPUTED_VALUE"""),"ПРОДУКТОВЫЙ, МЕГАМАРКЕТ")</f>
        <v>ПРОДУКТОВЫЙ, МЕГАМАРКЕТ</v>
      </c>
      <c r="C646" s="4" t="str">
        <f ca="1">IFERROR(__xludf.DUMMYFUNCTION("""COMPUTED_VALUE"""),"UP2-RTL15CG-OLE")</f>
        <v>UP2-RTL15CG-OLE</v>
      </c>
      <c r="D646" s="4" t="str">
        <f ca="1">IFERROR(__xludf.DUMMYFUNCTION("""COMPUTED_VALUE"""),"Переход на Mobile SMARTS: Магазин 15 ПРОДУКТОВЫЙ, МЕГАМАРКЕТ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ПАРФ"&amp;"ЮМ,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пе"&amp;"чатью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работа"&amp;",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46" s="4" t="str">
        <f ca="1">IFERROR(__xludf.DUMMYFUNCTION("""COMPUTED_VALUE"""),"Переход на Mobile SMARTS: Магазин 15 ПРОДУКТОВЫЙ, МЕГАМАРКЕТ для интеграции через OLE/COM ")</f>
        <v xml:space="preserve">Переход на Mobile SMARTS: Магазин 15 ПРОДУКТОВЫЙ, МЕГАМАРКЕТ для интеграции через OLE/COM </v>
      </c>
      <c r="F646" s="5">
        <f ca="1">IFERROR(__xludf.DUMMYFUNCTION("""COMPUTED_VALUE"""),15084.5)</f>
        <v>15084.5</v>
      </c>
    </row>
    <row r="647" spans="1:6" ht="44.25" customHeight="1" x14ac:dyDescent="0.2">
      <c r="A647" s="4" t="str">
        <f ca="1">IFERROR(__xludf.DUMMYFUNCTION("""COMPUTED_VALUE"""),"интеграции через TXT, CSV, Excel")</f>
        <v>интеграции через TXT, CSV, Excel</v>
      </c>
      <c r="B647" s="4" t="str">
        <f ca="1">IFERROR(__xludf.DUMMYFUNCTION("""COMPUTED_VALUE"""),"МИНИМУМ")</f>
        <v>МИНИМУМ</v>
      </c>
      <c r="C647" s="4" t="str">
        <f ca="1">IFERROR(__xludf.DUMMYFUNCTION("""COMPUTED_VALUE"""),"UP2-RTL15M-TXT")</f>
        <v>UP2-RTL15M-TXT</v>
      </c>
      <c r="D647" s="4" t="str">
        <f ca="1">IFERROR(__xludf.DUMMYFUNCTION("""COMPUTED_VALUE"""),"Переход на Mobile SMARTS: Магазин 15, МИНИМУМ для интеграции через TXT, CSV, Excel /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наст"&amp;"ройка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год")</f>
        <v>Переход на Mobile SMARTS: Магазин 15, МИНИМУМ для интеграции через TXT, CSV, Excel /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647" s="4" t="str">
        <f ca="1">IFERROR(__xludf.DUMMYFUNCTION("""COMPUTED_VALUE"""),"Переход на Mobile SMARTS: Магазин 15, МИНИМУМ для интеграции через TXT, CSV, Excel ")</f>
        <v xml:space="preserve">Переход на Mobile SMARTS: Магазин 15, МИНИМУМ для интеграции через TXT, CSV, Excel </v>
      </c>
      <c r="F647" s="5">
        <f ca="1">IFERROR(__xludf.DUMMYFUNCTION("""COMPUTED_VALUE"""),1725)</f>
        <v>1725</v>
      </c>
    </row>
    <row r="648" spans="1:6" ht="44.25" customHeight="1" x14ac:dyDescent="0.2">
      <c r="A648" s="4" t="str">
        <f ca="1">IFERROR(__xludf.DUMMYFUNCTION("""COMPUTED_VALUE"""),"интеграции через TXT, CSV, Excel")</f>
        <v>интеграции через TXT, CSV, Excel</v>
      </c>
      <c r="B648" s="4" t="str">
        <f ca="1">IFERROR(__xludf.DUMMYFUNCTION("""COMPUTED_VALUE"""),"БАЗОВЫЙ")</f>
        <v>БАЗОВЫЙ</v>
      </c>
      <c r="C648" s="4" t="str">
        <f ca="1">IFERROR(__xludf.DUMMYFUNCTION("""COMPUTED_VALUE"""),"UP2-RTL15A-TXT")</f>
        <v>UP2-RTL15A-TXT</v>
      </c>
      <c r="D648" s="4" t="str">
        <f ca="1">IFERROR(__xludf.DUMMYFUNCTION("""COMPUTED_VALUE"""),"Переход на Mobile SMARTS: Магазин 15, БАЗОВЫЙ для интеграции через TXT, CSV, Excel /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печат"&amp;"ью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возможност"&amp;"ь добавлять свои операции / бессрочная лицензия на 1 (одно) моб. устройство, подписка на обновления на 1 (один) год")</f>
        <v>Переход на Mobile SMARTS: Магазин 15, БАЗОВЫЙ для интеграции через TXT, CSV, Excel /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8" s="4" t="str">
        <f ca="1">IFERROR(__xludf.DUMMYFUNCTION("""COMPUTED_VALUE"""),"Переход на Mobile SMARTS: Магазин 15, БАЗОВЫЙ для интеграции через TXT, CSV, Excel ")</f>
        <v xml:space="preserve">Переход на Mobile SMARTS: Магазин 15, БАЗОВЫЙ для интеграции через TXT, CSV, Excel </v>
      </c>
      <c r="F648" s="5">
        <f ca="1">IFERROR(__xludf.DUMMYFUNCTION("""COMPUTED_VALUE"""),4325)</f>
        <v>4325</v>
      </c>
    </row>
    <row r="649" spans="1:6" ht="44.25" customHeight="1" x14ac:dyDescent="0.2">
      <c r="A649" s="4" t="str">
        <f ca="1">IFERROR(__xludf.DUMMYFUNCTION("""COMPUTED_VALUE"""),"интеграции через TXT, CSV, Excel")</f>
        <v>интеграции через TXT, CSV, Excel</v>
      </c>
      <c r="B649" s="4" t="str">
        <f ca="1">IFERROR(__xludf.DUMMYFUNCTION("""COMPUTED_VALUE"""),"РАСШИРЕННЫЙ")</f>
        <v>РАСШИРЕННЫЙ</v>
      </c>
      <c r="C649" s="4" t="str">
        <f ca="1">IFERROR(__xludf.DUMMYFUNCTION("""COMPUTED_VALUE"""),"UP2-RTL15B-TXT")</f>
        <v>UP2-RTL15B-TXT</v>
      </c>
      <c r="D649" s="4" t="str">
        <f ca="1">IFERROR(__xludf.DUMMYFUNCTION("""COMPUTED_VALUE"""),"Переход на Mobile SMARTS: Магазин 15, РАСШИРЕННЫЙ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п"&amp;"ечатью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возмож"&amp;"ность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РАСШИРЕННЫЙ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49" s="4" t="str">
        <f ca="1">IFERROR(__xludf.DUMMYFUNCTION("""COMPUTED_VALUE"""),"Переход на Mobile SMARTS: Магазин 15, РАСШИРЕННЫЙ для интеграции через TXT, CSV, Excel ")</f>
        <v xml:space="preserve">Переход на Mobile SMARTS: Магазин 15, РАСШИРЕННЫЙ для интеграции через TXT, CSV, Excel </v>
      </c>
      <c r="F649" s="5">
        <f ca="1">IFERROR(__xludf.DUMMYFUNCTION("""COMPUTED_VALUE"""),7525)</f>
        <v>7525</v>
      </c>
    </row>
    <row r="650" spans="1:6" ht="44.25" customHeight="1" x14ac:dyDescent="0.2">
      <c r="A650" s="4" t="str">
        <f ca="1">IFERROR(__xludf.DUMMYFUNCTION("""COMPUTED_VALUE"""),"интеграции через TXT, CSV, Excel")</f>
        <v>интеграции через TXT, CSV, Excel</v>
      </c>
      <c r="B650" s="4" t="str">
        <f ca="1">IFERROR(__xludf.DUMMYFUNCTION("""COMPUTED_VALUE"""),"МЕГАМАРКЕТ")</f>
        <v>МЕГАМАРКЕТ</v>
      </c>
      <c r="C650" s="4" t="str">
        <f ca="1">IFERROR(__xludf.DUMMYFUNCTION("""COMPUTED_VALUE"""),"UP2-RTL15C-TXT")</f>
        <v>UP2-RTL15C-TXT</v>
      </c>
      <c r="D650" s="4" t="str">
        <f ca="1">IFERROR(__xludf.DUMMYFUNCTION("""COMPUTED_VALUE"""),"Переход на Mobile SMARTS: Магазин 15, МЕГАМАРКЕТ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пе"&amp;"чатью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существующ"&amp;"их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МЕГАМАРКЕТ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0" s="4" t="str">
        <f ca="1">IFERROR(__xludf.DUMMYFUNCTION("""COMPUTED_VALUE"""),"Переход на Mobile SMARTS: Магазин 15, МЕГАМАРКЕТ для интеграции через TXT, CSV, Excel ")</f>
        <v xml:space="preserve">Переход на Mobile SMARTS: Магазин 15, МЕГАМАРКЕТ для интеграции через TXT, CSV, Excel </v>
      </c>
      <c r="F650" s="5">
        <f ca="1">IFERROR(__xludf.DUMMYFUNCTION("""COMPUTED_VALUE"""),10775)</f>
        <v>10775</v>
      </c>
    </row>
    <row r="651" spans="1:6" ht="44.25" customHeight="1" x14ac:dyDescent="0.2">
      <c r="A651" s="4" t="str">
        <f ca="1">IFERROR(__xludf.DUMMYFUNCTION("""COMPUTED_VALUE"""),"интеграции через TXT, CSV, Excel")</f>
        <v>интеграции через TXT, CSV, Excel</v>
      </c>
      <c r="B651" s="4" t="str">
        <f ca="1">IFERROR(__xludf.DUMMYFUNCTION("""COMPUTED_VALUE"""),"с ЕГАИС, БАЗОВЫЙ")</f>
        <v>с ЕГАИС, БАЗОВЫЙ</v>
      </c>
      <c r="C651" s="4" t="str">
        <f ca="1">IFERROR(__xludf.DUMMYFUNCTION("""COMPUTED_VALUE"""),"UP2-RTL15AE-TXT")</f>
        <v>UP2-RTL15AE-TXT</v>
      </c>
      <c r="D651" s="4" t="str">
        <f ca="1">IFERROR(__xludf.DUMMYFUNCTION("""COMPUTED_VALUE"""),"Переход на Mobile SMARTS: Магазин 15 с ЕГАИС, БАЗОВЫЙ для интеграции через TXT, CSV, Excel /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"&amp;"приемка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контраген"&amp;"тах,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ЕГАИС, БАЗОВЫЙ для интеграции через TXT, CSV, Excel /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51" s="4" t="str">
        <f ca="1">IFERROR(__xludf.DUMMYFUNCTION("""COMPUTED_VALUE"""),"Переход на Mobile SMARTS: Магазин 15 с ЕГАИС, БАЗОВЫЙ для интеграции через TXT, CSV, Excel ")</f>
        <v xml:space="preserve">Переход на Mobile SMARTS: Магазин 15 с ЕГАИС, БАЗОВЫЙ для интеграции через TXT, CSV, Excel </v>
      </c>
      <c r="F651" s="5">
        <f ca="1">IFERROR(__xludf.DUMMYFUNCTION("""COMPUTED_VALUE"""),5500)</f>
        <v>5500</v>
      </c>
    </row>
    <row r="652" spans="1:6" ht="44.25" customHeight="1" x14ac:dyDescent="0.2">
      <c r="A652" s="4" t="str">
        <f ca="1">IFERROR(__xludf.DUMMYFUNCTION("""COMPUTED_VALUE"""),"интеграции через TXT, CSV, Excel")</f>
        <v>интеграции через TXT, CSV, Excel</v>
      </c>
      <c r="B652" s="4" t="str">
        <f ca="1">IFERROR(__xludf.DUMMYFUNCTION("""COMPUTED_VALUE"""),"с ЕГАИС, РАСШИРЕННЫЙ")</f>
        <v>с ЕГАИС, РАСШИРЕННЫЙ</v>
      </c>
      <c r="C652" s="4" t="str">
        <f ca="1">IFERROR(__xludf.DUMMYFUNCTION("""COMPUTED_VALUE"""),"UP2-RTL15BE-TXT")</f>
        <v>UP2-RTL15BE-TXT</v>
      </c>
      <c r="D652" s="4" t="str">
        <f ca="1">IFERROR(__xludf.DUMMYFUNCTION("""COMPUTED_VALUE"""),"Переход на Mobile SMARTS: Магазин 15 с ЕГАИС, РАСШИРЕННЫЙ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алкого"&amp;"ля,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контр"&amp;"агентах,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ЕГАИС, РАСШИРЕННЫЙ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2" s="4" t="str">
        <f ca="1">IFERROR(__xludf.DUMMYFUNCTION("""COMPUTED_VALUE"""),"Переход на Mobile SMARTS: Магазин 15 с ЕГАИС, РАСШИРЕННЫЙ для интеграции через TXT, CSV, Excel ")</f>
        <v xml:space="preserve">Переход на Mobile SMARTS: Магазин 15 с ЕГАИС, РАСШИРЕННЫЙ для интеграции через TXT, CSV, Excel </v>
      </c>
      <c r="F652" s="5">
        <f ca="1">IFERROR(__xludf.DUMMYFUNCTION("""COMPUTED_VALUE"""),8725)</f>
        <v>8725</v>
      </c>
    </row>
    <row r="653" spans="1:6" ht="44.25" customHeight="1" x14ac:dyDescent="0.2">
      <c r="A653" s="4" t="str">
        <f ca="1">IFERROR(__xludf.DUMMYFUNCTION("""COMPUTED_VALUE"""),"интеграции через TXT, CSV, Excel")</f>
        <v>интеграции через TXT, CSV, Excel</v>
      </c>
      <c r="B653" s="4" t="str">
        <f ca="1">IFERROR(__xludf.DUMMYFUNCTION("""COMPUTED_VALUE"""),"с ЕГАИС (без CheckMark2), МЕГАМАРКЕТ")</f>
        <v>с ЕГАИС (без CheckMark2), МЕГАМАРКЕТ</v>
      </c>
      <c r="C653" s="4" t="str">
        <f ca="1">IFERROR(__xludf.DUMMYFUNCTION("""COMPUTED_VALUE"""),"UP2-RTL15CEV-TXT")</f>
        <v>UP2-RTL15CEV-TXT</v>
      </c>
      <c r="D653" s="4" t="str">
        <f ca="1">IFERROR(__xludf.DUMMYFUNCTION("""COMPUTED_VALUE"""),"Переход на Mobile SMARTS: Магазин 15 с ЕГАИС (без CheckMark2), МЕГАМАРКЕТ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опера"&amp;"ции: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(без CheckMark2), МЕГАМАРКЕТ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3" s="4" t="str">
        <f ca="1">IFERROR(__xludf.DUMMYFUNCTION("""COMPUTED_VALUE"""),"Переход на Mobile SMARTS: Магазин 15 с ЕГАИС (без CheckMark2), МЕГАМАРКЕТ для интеграции через TXT, CSV, Excel ")</f>
        <v xml:space="preserve">Переход на Mobile SMARTS: Магазин 15 с ЕГАИС (без CheckMark2), МЕГАМАРКЕТ для интеграции через TXT, CSV, Excel </v>
      </c>
      <c r="F653" s="5">
        <f ca="1">IFERROR(__xludf.DUMMYFUNCTION("""COMPUTED_VALUE"""),11925)</f>
        <v>11925</v>
      </c>
    </row>
    <row r="654" spans="1:6" ht="44.25" customHeight="1" x14ac:dyDescent="0.2">
      <c r="A654" s="4" t="str">
        <f ca="1">IFERROR(__xludf.DUMMYFUNCTION("""COMPUTED_VALUE"""),"интеграции через TXT, CSV, Excel")</f>
        <v>интеграции через TXT, CSV, Excel</v>
      </c>
      <c r="B654" s="4" t="str">
        <f ca="1">IFERROR(__xludf.DUMMYFUNCTION("""COMPUTED_VALUE"""),"с МОТП, БАЗОВЫЙ")</f>
        <v>с МОТП, БАЗОВЫЙ</v>
      </c>
      <c r="C654" s="4" t="str">
        <f ca="1">IFERROR(__xludf.DUMMYFUNCTION("""COMPUTED_VALUE"""),"UP2-RTL15AT-TXT")</f>
        <v>UP2-RTL15AT-TXT</v>
      </c>
      <c r="D654" s="4" t="str">
        <f ca="1">IFERROR(__xludf.DUMMYFUNCTION("""COMPUTED_VALUE"""),"Переход на Mobile SMARTS: Магазин 15 с МОТП, БАЗОВЫЙ для интеграции через TXT, CSV, Excel /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прие"&amp;"мка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контрагентах"&amp;",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МОТП, БАЗОВЫЙ для интеграции через TXT, CSV, Excel /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4" s="4" t="str">
        <f ca="1">IFERROR(__xludf.DUMMYFUNCTION("""COMPUTED_VALUE"""),"Переход на Mobile SMARTS: Магазин 15 с МОТП, БАЗОВЫЙ для интеграции через TXT, CSV, Excel ")</f>
        <v xml:space="preserve">Переход на Mobile SMARTS: Магазин 15 с МОТП, БАЗОВЫЙ для интеграции через TXT, CSV, Excel </v>
      </c>
      <c r="F654" s="5">
        <f ca="1">IFERROR(__xludf.DUMMYFUNCTION("""COMPUTED_VALUE"""),5575)</f>
        <v>5575</v>
      </c>
    </row>
    <row r="655" spans="1:6" ht="44.25" customHeight="1" x14ac:dyDescent="0.2">
      <c r="A655" s="4" t="str">
        <f ca="1">IFERROR(__xludf.DUMMYFUNCTION("""COMPUTED_VALUE"""),"интеграции через TXT, CSV, Excel")</f>
        <v>интеграции через TXT, CSV, Excel</v>
      </c>
      <c r="B655" s="4" t="str">
        <f ca="1">IFERROR(__xludf.DUMMYFUNCTION("""COMPUTED_VALUE"""),"с МОТП, РАСШИРЕННЫЙ")</f>
        <v>с МОТП, РАСШИРЕННЫЙ</v>
      </c>
      <c r="C655" s="4" t="str">
        <f ca="1">IFERROR(__xludf.DUMMYFUNCTION("""COMPUTED_VALUE"""),"UP2-RTL15BT-TXT")</f>
        <v>UP2-RTL15BT-TXT</v>
      </c>
      <c r="D655" s="4" t="str">
        <f ca="1">IFERROR(__xludf.DUMMYFUNCTION("""COMPUTED_VALUE"""),"Переход на Mobile SMARTS: Магазин 15 с МОТП, РАСШИРЕННЫЙ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"&amp;"приемка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МОТП, РАСШИРЕННЫЙ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5" s="4" t="str">
        <f ca="1">IFERROR(__xludf.DUMMYFUNCTION("""COMPUTED_VALUE"""),"Переход на Mobile SMARTS: Магазин 15 с МОТП, РАСШИРЕННЫЙ для интеграции через TXT, CSV, Excel ")</f>
        <v xml:space="preserve">Переход на Mobile SMARTS: Магазин 15 с МОТП, РАСШИРЕННЫЙ для интеграции через TXT, CSV, Excel </v>
      </c>
      <c r="F655" s="5">
        <f ca="1">IFERROR(__xludf.DUMMYFUNCTION("""COMPUTED_VALUE"""),8725)</f>
        <v>8725</v>
      </c>
    </row>
    <row r="656" spans="1:6" ht="44.25" customHeight="1" x14ac:dyDescent="0.2">
      <c r="A656" s="4" t="str">
        <f ca="1">IFERROR(__xludf.DUMMYFUNCTION("""COMPUTED_VALUE"""),"интеграции через TXT, CSV, Excel")</f>
        <v>интеграции через TXT, CSV, Excel</v>
      </c>
      <c r="B656" s="4" t="str">
        <f ca="1">IFERROR(__xludf.DUMMYFUNCTION("""COMPUTED_VALUE"""),"с МОТП, МЕГАМАРКЕТ")</f>
        <v>с МОТП, МЕГАМАРКЕТ</v>
      </c>
      <c r="C656" s="4" t="str">
        <f ca="1">IFERROR(__xludf.DUMMYFUNCTION("""COMPUTED_VALUE"""),"UP2-RTL15CT-TXT")</f>
        <v>UP2-RTL15CT-TXT</v>
      </c>
      <c r="D656" s="4" t="str">
        <f ca="1">IFERROR(__xludf.DUMMYFUNCTION("""COMPUTED_VALUE"""),"Переход на Mobile SMARTS: Магазин 15 с МОТП, МЕГАМАРКЕТ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п"&amp;"риемка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МОТП, МЕГАМАРКЕТ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6" s="4" t="str">
        <f ca="1">IFERROR(__xludf.DUMMYFUNCTION("""COMPUTED_VALUE"""),"Переход на Mobile SMARTS: Магазин 15 с МОТП, МЕГАМАРКЕТ для интеграции через TXT, CSV, Excel ")</f>
        <v xml:space="preserve">Переход на Mobile SMARTS: Магазин 15 с МОТП, МЕГАМАРКЕТ для интеграции через TXT, CSV, Excel </v>
      </c>
      <c r="F656" s="5">
        <f ca="1">IFERROR(__xludf.DUMMYFUNCTION("""COMPUTED_VALUE"""),11925)</f>
        <v>11925</v>
      </c>
    </row>
    <row r="657" spans="1:6" ht="44.25" customHeight="1" x14ac:dyDescent="0.2">
      <c r="A657" s="4" t="str">
        <f ca="1">IFERROR(__xludf.DUMMYFUNCTION("""COMPUTED_VALUE"""),"интеграции через TXT, CSV, Excel")</f>
        <v>интеграции через TXT, CSV, Excel</v>
      </c>
      <c r="B657" s="4" t="str">
        <f ca="1">IFERROR(__xludf.DUMMYFUNCTION("""COMPUTED_VALUE"""),"с ЕГАИС и МОТП, БАЗОВЫЙ")</f>
        <v>с ЕГАИС и МОТП, БАЗОВЫЙ</v>
      </c>
      <c r="C657" s="4" t="str">
        <f ca="1">IFERROR(__xludf.DUMMYFUNCTION("""COMPUTED_VALUE"""),"UP2-RTL15AET-TXT")</f>
        <v>UP2-RTL15AET-TXT</v>
      </c>
      <c r="D657" s="4" t="str">
        <f ca="1">IFERROR(__xludf.DUMMYFUNCTION("""COMPUTED_VALUE"""),"Переход на Mobile SMARTS: Магазин 15 с ЕГАИС и МОТП, БАЗОВЫЙ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о"&amp;"перации: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доба"&amp;"влять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БАЗОВЫЙ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7" s="4" t="str">
        <f ca="1">IFERROR(__xludf.DUMMYFUNCTION("""COMPUTED_VALUE"""),"Переход на Mobile SMARTS: Магазин 15 с ЕГАИС и МОТП, БАЗОВЫЙ для интеграции через TXT, CSV, Excel ")</f>
        <v xml:space="preserve">Переход на Mobile SMARTS: Магазин 15 с ЕГАИС и МОТП, БАЗОВЫЙ для интеграции через TXT, CSV, Excel </v>
      </c>
      <c r="F657" s="5">
        <f ca="1">IFERROR(__xludf.DUMMYFUNCTION("""COMPUTED_VALUE"""),6075)</f>
        <v>6075</v>
      </c>
    </row>
    <row r="658" spans="1:6" ht="44.25" customHeight="1" x14ac:dyDescent="0.2">
      <c r="A658" s="4" t="str">
        <f ca="1">IFERROR(__xludf.DUMMYFUNCTION("""COMPUTED_VALUE"""),"интеграции через TXT, CSV, Excel")</f>
        <v>интеграции через TXT, CSV, Excel</v>
      </c>
      <c r="B658" s="4" t="str">
        <f ca="1">IFERROR(__xludf.DUMMYFUNCTION("""COMPUTED_VALUE"""),"с ЕГАИС и МОТП, РАСШИРЕННЫЙ")</f>
        <v>с ЕГАИС и МОТП, РАСШИРЕННЫЙ</v>
      </c>
      <c r="C658" s="4" t="str">
        <f ca="1">IFERROR(__xludf.DUMMYFUNCTION("""COMPUTED_VALUE"""),"UP2-RTL15BET-TXT")</f>
        <v>UP2-RTL15BET-TXT</v>
      </c>
      <c r="D658" s="4" t="str">
        <f ca="1">IFERROR(__xludf.DUMMYFUNCTION("""COMPUTED_VALUE"""),"Переход на Mobile SMARTS: Магазин 15 с ЕГАИС и МОТП, РАСШИРЕННЫЙ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доступн"&amp;"ые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"&amp;"сбор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"&amp;"добавлять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РАСШИРЕННЫЙ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8" s="4" t="str">
        <f ca="1">IFERROR(__xludf.DUMMYFUNCTION("""COMPUTED_VALUE"""),"Переход на Mobile SMARTS: Магазин 15 с ЕГАИС и МОТП, РАСШИРЕННЫЙ для интеграции через TXT, CSV, Excel ")</f>
        <v xml:space="preserve">Переход на Mobile SMARTS: Магазин 15 с ЕГАИС и МОТП, РАСШИРЕННЫЙ для интеграции через TXT, CSV, Excel </v>
      </c>
      <c r="F658" s="5">
        <f ca="1">IFERROR(__xludf.DUMMYFUNCTION("""COMPUTED_VALUE"""),9275)</f>
        <v>9275</v>
      </c>
    </row>
    <row r="659" spans="1:6" ht="44.25" customHeight="1" x14ac:dyDescent="0.2">
      <c r="A659" s="4" t="str">
        <f ca="1">IFERROR(__xludf.DUMMYFUNCTION("""COMPUTED_VALUE"""),"интеграции через TXT, CSV, Excel")</f>
        <v>интеграции через TXT, CSV, Excel</v>
      </c>
      <c r="B659" s="4" t="str">
        <f ca="1">IFERROR(__xludf.DUMMYFUNCTION("""COMPUTED_VALUE"""),"с ЕГАИС и МОТП, МЕГАМАРКЕТ")</f>
        <v>с ЕГАИС и МОТП, МЕГАМАРКЕТ</v>
      </c>
      <c r="C659" s="4" t="str">
        <f ca="1">IFERROR(__xludf.DUMMYFUNCTION("""COMPUTED_VALUE"""),"UP2-RTL15CET-TXT")</f>
        <v>UP2-RTL15CET-TXT</v>
      </c>
      <c r="D659" s="4" t="str">
        <f ca="1">IFERROR(__xludf.DUMMYFUNCTION("""COMPUTED_VALUE"""),"Переход на Mobile SMARTS: Магазин 15 с ЕГАИС и МОТП, МЕГАМАРКЕТ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доступны"&amp;"е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опе"&amp;"раций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МЕГАМАРКЕТ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59" s="4" t="str">
        <f ca="1">IFERROR(__xludf.DUMMYFUNCTION("""COMPUTED_VALUE"""),"Переход на Mobile SMARTS: Магазин 15 с ЕГАИС и МОТП, МЕГАМАРКЕТ для интеграции через TXT, CSV, Excel ")</f>
        <v xml:space="preserve">Переход на Mobile SMARTS: Магазин 15 с ЕГАИС и МОТП, МЕГАМАРКЕТ для интеграции через TXT, CSV, Excel </v>
      </c>
      <c r="F659" s="5">
        <f ca="1">IFERROR(__xludf.DUMMYFUNCTION("""COMPUTED_VALUE"""),13175)</f>
        <v>13175</v>
      </c>
    </row>
    <row r="660" spans="1:6" ht="44.25" customHeight="1" x14ac:dyDescent="0.2">
      <c r="A660" s="4" t="str">
        <f ca="1">IFERROR(__xludf.DUMMYFUNCTION("""COMPUTED_VALUE"""),"интеграции через TXT, CSV, Excel")</f>
        <v>интеграции через TXT, CSV, Excel</v>
      </c>
      <c r="B660" s="4" t="str">
        <f ca="1">IFERROR(__xludf.DUMMYFUNCTION("""COMPUTED_VALUE"""),"ШМОТКИ, БАЗОВЫЙ")</f>
        <v>ШМОТКИ, БАЗОВЫЙ</v>
      </c>
      <c r="C660" s="4" t="str">
        <f ca="1">IFERROR(__xludf.DUMMYFUNCTION("""COMPUTED_VALUE"""),"UP2-RTL15AK-TXT")</f>
        <v>UP2-RTL15AK-TXT</v>
      </c>
      <c r="D660" s="4" t="str">
        <f ca="1">IFERROR(__xludf.DUMMYFUNCTION("""COMPUTED_VALUE"""),"Переход на Mobile SMARTS: Магазин 15 с КИРОВКОЙ, БАЗОВЫЙ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опер"&amp;"ации: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КИРОВКОЙ, БАЗОВЫЙ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0" s="4" t="str">
        <f ca="1">IFERROR(__xludf.DUMMYFUNCTION("""COMPUTED_VALUE"""),"Переход на Mobile SMARTS: Магазин 15 с КИРОВКОЙ, БАЗОВЫЙ для интеграции через TXT, CSV, Excel ")</f>
        <v xml:space="preserve">Переход на Mobile SMARTS: Магазин 15 с КИРОВКОЙ, БАЗОВЫЙ для интеграции через TXT, CSV, Excel </v>
      </c>
      <c r="F660" s="5">
        <f ca="1">IFERROR(__xludf.DUMMYFUNCTION("""COMPUTED_VALUE"""),6075)</f>
        <v>6075</v>
      </c>
    </row>
    <row r="661" spans="1:6" ht="44.25" customHeight="1" x14ac:dyDescent="0.2">
      <c r="A661" s="4" t="str">
        <f ca="1">IFERROR(__xludf.DUMMYFUNCTION("""COMPUTED_VALUE"""),"интеграции через TXT, CSV, Excel")</f>
        <v>интеграции через TXT, CSV, Excel</v>
      </c>
      <c r="B661" s="4" t="str">
        <f ca="1">IFERROR(__xludf.DUMMYFUNCTION("""COMPUTED_VALUE"""),"ШМОТКИ, РАСШИРЕННЫЙ")</f>
        <v>ШМОТКИ, РАСШИРЕННЫЙ</v>
      </c>
      <c r="C661" s="4" t="str">
        <f ca="1">IFERROR(__xludf.DUMMYFUNCTION("""COMPUTED_VALUE"""),"UP2-RTL15BK-TXT")</f>
        <v>UP2-RTL15BK-TXT</v>
      </c>
      <c r="D661" s="4" t="str">
        <f ca="1">IFERROR(__xludf.DUMMYFUNCTION("""COMPUTED_VALUE"""),"Переход на Mobile SMARTS: Магазин 15 с КИРОВКОЙ, РАСШИРЕННЫЙ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информац"&amp;"ия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КИРОВКОЙ, РАСШИРЕННЫЙ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1" s="4" t="str">
        <f ca="1">IFERROR(__xludf.DUMMYFUNCTION("""COMPUTED_VALUE"""),"Переход на Mobile SMARTS: Магазин 15 с КИРОВКОЙ, РАСШИРЕННЫЙ для интеграции через TXT, CSV, Excel ")</f>
        <v xml:space="preserve">Переход на Mobile SMARTS: Магазин 15 с КИРОВКОЙ, РАСШИРЕННЫЙ для интеграции через TXT, CSV, Excel </v>
      </c>
      <c r="F661" s="5">
        <f ca="1">IFERROR(__xludf.DUMMYFUNCTION("""COMPUTED_VALUE"""),9275)</f>
        <v>9275</v>
      </c>
    </row>
    <row r="662" spans="1:6" ht="44.25" customHeight="1" x14ac:dyDescent="0.2">
      <c r="A662" s="4" t="str">
        <f ca="1">IFERROR(__xludf.DUMMYFUNCTION("""COMPUTED_VALUE"""),"интеграции через TXT, CSV, Excel")</f>
        <v>интеграции через TXT, CSV, Excel</v>
      </c>
      <c r="B662" s="4" t="str">
        <f ca="1">IFERROR(__xludf.DUMMYFUNCTION("""COMPUTED_VALUE"""),"ШМОТКИ, МЕГАМАРКЕТ")</f>
        <v>ШМОТКИ, МЕГАМАРКЕТ</v>
      </c>
      <c r="C662" s="4" t="str">
        <f ca="1">IFERROR(__xludf.DUMMYFUNCTION("""COMPUTED_VALUE"""),"UP2-RTL15CK-TXT")</f>
        <v>UP2-RTL15CK-TXT</v>
      </c>
      <c r="D662" s="4" t="str">
        <f ca="1">IFERROR(__xludf.DUMMYFUNCTION("""COMPUTED_VALUE"""),"Переход на Mobile SMARTS: Магазин 15 с КИРОВКОЙ, МЕГАМАРКЕТ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коллектив"&amp;"ная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КИРОВКОЙ, МЕГАМАРКЕТ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2" s="4" t="str">
        <f ca="1">IFERROR(__xludf.DUMMYFUNCTION("""COMPUTED_VALUE"""),"Переход на Mobile SMARTS: Магазин 15 с КИРОВКОЙ, МЕГАМАРКЕТ для интеграции через TXT, CSV, Excel ")</f>
        <v xml:space="preserve">Переход на Mobile SMARTS: Магазин 15 с КИРОВКОЙ, МЕГАМАРКЕТ для интеграции через TXT, CSV, Excel </v>
      </c>
      <c r="F662" s="5">
        <f ca="1">IFERROR(__xludf.DUMMYFUNCTION("""COMPUTED_VALUE"""),13175)</f>
        <v>13175</v>
      </c>
    </row>
    <row r="663" spans="1:6" ht="44.25" customHeight="1" x14ac:dyDescent="0.2">
      <c r="A663" s="4" t="str">
        <f ca="1">IFERROR(__xludf.DUMMYFUNCTION("""COMPUTED_VALUE"""),"интеграции через TXT, CSV, Excel")</f>
        <v>интеграции через TXT, CSV, Excel</v>
      </c>
      <c r="B663" s="4" t="str">
        <f ca="1">IFERROR(__xludf.DUMMYFUNCTION("""COMPUTED_VALUE"""),"с МДЛП, БАЗОВЫЙ")</f>
        <v>с МДЛП, БАЗОВЫЙ</v>
      </c>
      <c r="C663" s="4" t="str">
        <f ca="1">IFERROR(__xludf.DUMMYFUNCTION("""COMPUTED_VALUE"""),"UP2-RTL15AL-TXT")</f>
        <v>UP2-RTL15AL-TXT</v>
      </c>
      <c r="D663" s="4" t="str">
        <f ca="1">IFERROR(__xludf.DUMMYFUNCTION("""COMPUTED_VALUE"""),"Переход на Mobile SMARTS: Магазин 15 с МДЛП, БАЗОВЫЙ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поступл"&amp;"ение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МДЛП, БАЗОВЫЙ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3" s="4" t="str">
        <f ca="1">IFERROR(__xludf.DUMMYFUNCTION("""COMPUTED_VALUE"""),"Переход на Mobile SMARTS: Магазин 15 с МДЛП, БАЗОВЫЙ для интеграции через TXT, CSV, Excel ")</f>
        <v xml:space="preserve">Переход на Mobile SMARTS: Магазин 15 с МДЛП, БАЗОВЫЙ для интеграции через TXT, CSV, Excel </v>
      </c>
      <c r="F663" s="5">
        <f ca="1">IFERROR(__xludf.DUMMYFUNCTION("""COMPUTED_VALUE"""),4229)</f>
        <v>4229</v>
      </c>
    </row>
    <row r="664" spans="1:6" ht="44.25" customHeight="1" x14ac:dyDescent="0.2">
      <c r="A664" s="4" t="str">
        <f ca="1">IFERROR(__xludf.DUMMYFUNCTION("""COMPUTED_VALUE"""),"интеграции через TXT, CSV, Excel")</f>
        <v>интеграции через TXT, CSV, Excel</v>
      </c>
      <c r="B664" s="4" t="str">
        <f ca="1">IFERROR(__xludf.DUMMYFUNCTION("""COMPUTED_VALUE"""),"с МДЛП, РАСШИРЕННЫЙ")</f>
        <v>с МДЛП, РАСШИРЕННЫЙ</v>
      </c>
      <c r="C664" s="4" t="str">
        <f ca="1">IFERROR(__xludf.DUMMYFUNCTION("""COMPUTED_VALUE"""),"UP2-RTL15BL-TXT")</f>
        <v>UP2-RTL15BL-TXT</v>
      </c>
      <c r="D664" s="4" t="str">
        <f ca="1">IFERROR(__xludf.DUMMYFUNCTION("""COMPUTED_VALUE"""),"Переход на Mobile SMARTS: Магазин 15 с МДЛП, РАСШИРЕННЫЙ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пос"&amp;"тупление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"&amp;"складах,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МДЛП, РАСШИРЕННЫЙ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4" s="4" t="str">
        <f ca="1">IFERROR(__xludf.DUMMYFUNCTION("""COMPUTED_VALUE"""),"Переход на Mobile SMARTS: Магазин 15 с МДЛП, РАСШИРЕННЫЙ для интеграции через TXT, CSV, Excel ")</f>
        <v xml:space="preserve">Переход на Mobile SMARTS: Магазин 15 с МДЛП, РАСШИРЕННЫЙ для интеграции через TXT, CSV, Excel </v>
      </c>
      <c r="F664" s="5">
        <f ca="1">IFERROR(__xludf.DUMMYFUNCTION("""COMPUTED_VALUE"""),6689)</f>
        <v>6689</v>
      </c>
    </row>
    <row r="665" spans="1:6" ht="44.25" customHeight="1" x14ac:dyDescent="0.2">
      <c r="A665" s="4" t="str">
        <f ca="1">IFERROR(__xludf.DUMMYFUNCTION("""COMPUTED_VALUE"""),"интеграции через TXT, CSV, Excel")</f>
        <v>интеграции через TXT, CSV, Excel</v>
      </c>
      <c r="B665" s="4" t="str">
        <f ca="1">IFERROR(__xludf.DUMMYFUNCTION("""COMPUTED_VALUE"""),"с МДЛП, МЕГАМАРКЕТ")</f>
        <v>с МДЛП, МЕГАМАРКЕТ</v>
      </c>
      <c r="C665" s="4" t="str">
        <f ca="1">IFERROR(__xludf.DUMMYFUNCTION("""COMPUTED_VALUE"""),"UP2-RTL15CL-TXT")</f>
        <v>UP2-RTL15CL-TXT</v>
      </c>
      <c r="D665" s="4" t="str">
        <f ca="1">IFERROR(__xludf.DUMMYFUNCTION("""COMPUTED_VALUE"""),"Переход на Mobile SMARTS: Магазин 15 с МДЛП, МЕГАМАРКЕТ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пост"&amp;"упление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и"&amp;"нформация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МДЛП, МЕГАМАРКЕТ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65" s="4" t="str">
        <f ca="1">IFERROR(__xludf.DUMMYFUNCTION("""COMPUTED_VALUE"""),"Переход на Mobile SMARTS: Магазин 15 с МДЛП, МЕГАМАРКЕТ для интеграции через TXT, CSV, Excel ")</f>
        <v xml:space="preserve">Переход на Mobile SMARTS: Магазин 15 с МДЛП, МЕГАМАРКЕТ для интеграции через TXT, CSV, Excel </v>
      </c>
      <c r="F665" s="5">
        <f ca="1">IFERROR(__xludf.DUMMYFUNCTION("""COMPUTED_VALUE"""),10349)</f>
        <v>10349</v>
      </c>
    </row>
    <row r="666" spans="1:6" ht="44.25" customHeight="1" x14ac:dyDescent="0.2">
      <c r="A666" s="4" t="str">
        <f ca="1">IFERROR(__xludf.DUMMYFUNCTION("""COMPUTED_VALUE"""),"интеграции через TXT, CSV, Excel")</f>
        <v>интеграции через TXT, CSV, Excel</v>
      </c>
      <c r="B666" s="4" t="str">
        <f ca="1">IFERROR(__xludf.DUMMYFUNCTION("""COMPUTED_VALUE"""),"ПРОДУКТОВЫЙ, БАЗОВЫЙ")</f>
        <v>ПРОДУКТОВЫЙ, БАЗОВЫЙ</v>
      </c>
      <c r="C666" s="4" t="str">
        <f ca="1">IFERROR(__xludf.DUMMYFUNCTION("""COMPUTED_VALUE"""),"UP2-RTL15AG-TXT")</f>
        <v>UP2-RTL15AG-TXT</v>
      </c>
      <c r="D666" s="4" t="str">
        <f ca="1">IFERROR(__xludf.DUMMYFUNCTION("""COMPUTED_VALUE"""),"Переход на Mobile SMARTS: Магазин 15 ПРОДУКТОВЫЙ, БАЗОВЫЙ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ОБУВЬ,"&amp;"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т.ч."&amp;"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т"&amp;"оваре,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66" s="4" t="str">
        <f ca="1">IFERROR(__xludf.DUMMYFUNCTION("""COMPUTED_VALUE"""),"Переход на Mobile SMARTS: Магазин 15 ПРОДУКТОВЫЙ, БАЗОВЫЙ для интеграции через TXT, CSV, Excel ")</f>
        <v xml:space="preserve">Переход на Mobile SMARTS: Магазин 15 ПРОДУКТОВЫЙ, БАЗОВЫЙ для интеграции через TXT, CSV, Excel </v>
      </c>
      <c r="F666" s="5">
        <f ca="1">IFERROR(__xludf.DUMMYFUNCTION("""COMPUTED_VALUE"""),5579)</f>
        <v>5579</v>
      </c>
    </row>
    <row r="667" spans="1:6" ht="44.25" customHeight="1" x14ac:dyDescent="0.2">
      <c r="A667" s="4" t="str">
        <f ca="1">IFERROR(__xludf.DUMMYFUNCTION("""COMPUTED_VALUE"""),"интеграции через TXT, CSV, Excel")</f>
        <v>интеграции через TXT, CSV, Excel</v>
      </c>
      <c r="B667" s="4" t="str">
        <f ca="1">IFERROR(__xludf.DUMMYFUNCTION("""COMPUTED_VALUE"""),"ПРОДУКТОВЫЙ, РАСШИРЕННЫЙ")</f>
        <v>ПРОДУКТОВЫЙ, РАСШИРЕННЫЙ</v>
      </c>
      <c r="C667" s="4" t="str">
        <f ca="1">IFERROR(__xludf.DUMMYFUNCTION("""COMPUTED_VALUE"""),"UP2-RTL15BG-TXT")</f>
        <v>UP2-RTL15BG-TXT</v>
      </c>
      <c r="D667" s="4" t="str">
        <f ca="1">IFERROR(__xludf.DUMMYFUNCTION("""COMPUTED_VALUE"""),"Переход на Mobile SMARTS: Магазин 15 ПРОДУКТОВЫЙ, РАСШИРЕННЫЙ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ОБ"&amp;"УВЬ,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"&amp;"т.ч.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информация"&amp;"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67" s="4" t="str">
        <f ca="1">IFERROR(__xludf.DUMMYFUNCTION("""COMPUTED_VALUE"""),"Переход на Mobile SMARTS: Магазин 15 ПРОДУКТОВЫЙ, РАСШИРЕННЫЙ для интеграции через TXT, CSV, Excel ")</f>
        <v xml:space="preserve">Переход на Mobile SMARTS: Магазин 15 ПРОДУКТОВЫЙ, РАСШИРЕННЫЙ для интеграции через TXT, CSV, Excel </v>
      </c>
      <c r="F667" s="5">
        <f ca="1">IFERROR(__xludf.DUMMYFUNCTION("""COMPUTED_VALUE"""),8039)</f>
        <v>8039</v>
      </c>
    </row>
    <row r="668" spans="1:6" ht="44.25" customHeight="1" x14ac:dyDescent="0.2">
      <c r="A668" s="4" t="str">
        <f ca="1">IFERROR(__xludf.DUMMYFUNCTION("""COMPUTED_VALUE"""),"интеграции через TXT, CSV, Excel")</f>
        <v>интеграции через TXT, CSV, Excel</v>
      </c>
      <c r="B668" s="4" t="str">
        <f ca="1">IFERROR(__xludf.DUMMYFUNCTION("""COMPUTED_VALUE"""),"ПРОДУКТОВЫЙ, МЕГАМАРКЕТ")</f>
        <v>ПРОДУКТОВЫЙ, МЕГАМАРКЕТ</v>
      </c>
      <c r="C668" s="4" t="str">
        <f ca="1">IFERROR(__xludf.DUMMYFUNCTION("""COMPUTED_VALUE"""),"UP2-RTL15CG-TXT")</f>
        <v>UP2-RTL15CG-TXT</v>
      </c>
      <c r="D668" s="4" t="str">
        <f ca="1">IFERROR(__xludf.DUMMYFUNCTION("""COMPUTED_VALUE"""),"Переход на Mobile SMARTS: Магазин 15 ПРОДУКТОВЫЙ, МЕГАМАРКЕТ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ОБУ"&amp;"ВЬ,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т"&amp;".ч.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коллективна"&amp;"я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68" s="4" t="str">
        <f ca="1">IFERROR(__xludf.DUMMYFUNCTION("""COMPUTED_VALUE"""),"Переход на Mobile SMARTS: Магазин 15 ПРОДУКТОВЫЙ, МЕГАМАРКЕТ для интеграции через TXT, CSV, Excel ")</f>
        <v xml:space="preserve">Переход на Mobile SMARTS: Магазин 15 ПРОДУКТОВЫЙ, МЕГАМАРКЕТ для интеграции через TXT, CSV, Excel </v>
      </c>
      <c r="F668" s="5">
        <f ca="1">IFERROR(__xludf.DUMMYFUNCTION("""COMPUTED_VALUE"""),14084.5)</f>
        <v>14084.5</v>
      </c>
    </row>
    <row r="669" spans="1:6" ht="44.25" customHeight="1" x14ac:dyDescent="0.2">
      <c r="A669" s="4" t="str">
        <f ca="1">IFERROR(__xludf.DUMMYFUNCTION("""COMPUTED_VALUE"""),"интеграции через REST API")</f>
        <v>интеграции через REST API</v>
      </c>
      <c r="B669" s="4" t="str">
        <f ca="1">IFERROR(__xludf.DUMMYFUNCTION("""COMPUTED_VALUE"""),"МИНИМУМ")</f>
        <v>МИНИМУМ</v>
      </c>
      <c r="C669" s="4" t="str">
        <f ca="1">IFERROR(__xludf.DUMMYFUNCTION("""COMPUTED_VALUE"""),"UP2-RTL15M-REST")</f>
        <v>UP2-RTL15M-REST</v>
      </c>
      <c r="D669" s="4" t="str">
        <f ca="1">IFERROR(__xludf.DUMMYFUNCTION("""COMPUTED_VALUE"""),"Переход на Mobile SMARTS: Магазин 15, МИНИМУМ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о"&amp;"перации: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обно"&amp;"вления на 1 (один) год")</f>
        <v>Переход на Mobile SMARTS: Магазин 15, МИНИМУМ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669" s="4" t="str">
        <f ca="1">IFERROR(__xludf.DUMMYFUNCTION("""COMPUTED_VALUE"""),"Переход на Mobile SMARTS: Магазин 15, МИНИМУМ для интеграции через REST API ")</f>
        <v xml:space="preserve">Переход на Mobile SMARTS: Магазин 15, МИНИМУМ для интеграции через REST API </v>
      </c>
      <c r="F669" s="5">
        <f ca="1">IFERROR(__xludf.DUMMYFUNCTION("""COMPUTED_VALUE"""),2725)</f>
        <v>2725</v>
      </c>
    </row>
    <row r="670" spans="1:6" ht="44.25" customHeight="1" x14ac:dyDescent="0.2">
      <c r="A670" s="4" t="str">
        <f ca="1">IFERROR(__xludf.DUMMYFUNCTION("""COMPUTED_VALUE"""),"интеграции через REST API")</f>
        <v>интеграции через REST API</v>
      </c>
      <c r="B670" s="4" t="str">
        <f ca="1">IFERROR(__xludf.DUMMYFUNCTION("""COMPUTED_VALUE"""),"БАЗОВЫЙ")</f>
        <v>БАЗОВЫЙ</v>
      </c>
      <c r="C670" s="4" t="str">
        <f ca="1">IFERROR(__xludf.DUMMYFUNCTION("""COMPUTED_VALUE"""),"UP2-RTL15A-REST")</f>
        <v>UP2-RTL15A-REST</v>
      </c>
      <c r="D670" s="4" t="str">
        <f ca="1">IFERROR(__xludf.DUMMYFUNCTION("""COMPUTED_VALUE"""),"Переход на Mobile SMARTS: Магазин 15, БАЗОВЫЙ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о"&amp;"перации: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"&amp;"и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БАЗОВЫЙ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0" s="4" t="str">
        <f ca="1">IFERROR(__xludf.DUMMYFUNCTION("""COMPUTED_VALUE"""),"Переход на Mobile SMARTS: Магазин 15, БАЗОВЫЙ для интеграции через REST API ")</f>
        <v xml:space="preserve">Переход на Mobile SMARTS: Магазин 15, БАЗОВЫЙ для интеграции через REST API </v>
      </c>
      <c r="F670" s="5">
        <f ca="1">IFERROR(__xludf.DUMMYFUNCTION("""COMPUTED_VALUE"""),5325)</f>
        <v>5325</v>
      </c>
    </row>
    <row r="671" spans="1:6" ht="44.25" customHeight="1" x14ac:dyDescent="0.2">
      <c r="A671" s="4" t="str">
        <f ca="1">IFERROR(__xludf.DUMMYFUNCTION("""COMPUTED_VALUE"""),"интеграции через REST API")</f>
        <v>интеграции через REST API</v>
      </c>
      <c r="B671" s="4" t="str">
        <f ca="1">IFERROR(__xludf.DUMMYFUNCTION("""COMPUTED_VALUE"""),"РАСШИРЕННЫЙ")</f>
        <v>РАСШИРЕННЫЙ</v>
      </c>
      <c r="C671" s="4" t="str">
        <f ca="1">IFERROR(__xludf.DUMMYFUNCTION("""COMPUTED_VALUE"""),"UP2-RTL15B-REST")</f>
        <v>UP2-RTL15B-REST</v>
      </c>
      <c r="D671" s="4" t="str">
        <f ca="1">IFERROR(__xludf.DUMMYFUNCTION("""COMPUTED_VALUE"""),"Переход на Mobile SMARTS: Магазин 15, РАСШИРЕННЫЙ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доступн"&amp;"ые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остат"&amp;"ках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РАСШИРЕННЫЙ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1" s="4" t="str">
        <f ca="1">IFERROR(__xludf.DUMMYFUNCTION("""COMPUTED_VALUE"""),"Переход на Mobile SMARTS: Магазин 15, РАСШИРЕННЫЙ для интеграции через REST API ")</f>
        <v xml:space="preserve">Переход на Mobile SMARTS: Магазин 15, РАСШИРЕННЫЙ для интеграции через REST API </v>
      </c>
      <c r="F671" s="5">
        <f ca="1">IFERROR(__xludf.DUMMYFUNCTION("""COMPUTED_VALUE"""),8525)</f>
        <v>8525</v>
      </c>
    </row>
    <row r="672" spans="1:6" ht="44.25" customHeight="1" x14ac:dyDescent="0.2">
      <c r="A672" s="4" t="str">
        <f ca="1">IFERROR(__xludf.DUMMYFUNCTION("""COMPUTED_VALUE"""),"интеграции через REST API")</f>
        <v>интеграции через REST API</v>
      </c>
      <c r="B672" s="4" t="str">
        <f ca="1">IFERROR(__xludf.DUMMYFUNCTION("""COMPUTED_VALUE"""),"МЕГАМАРКЕТ")</f>
        <v>МЕГАМАРКЕТ</v>
      </c>
      <c r="C672" s="4" t="str">
        <f ca="1">IFERROR(__xludf.DUMMYFUNCTION("""COMPUTED_VALUE"""),"UP2-RTL15C-REST")</f>
        <v>UP2-RTL15C-REST</v>
      </c>
      <c r="D672" s="4" t="str">
        <f ca="1">IFERROR(__xludf.DUMMYFUNCTION("""COMPUTED_VALUE"""),"Переход на Mobile SMARTS: Магазин 15, МЕГАМАРКЕТ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доступны"&amp;"е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МЕГАМАРКЕТ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2" s="4" t="str">
        <f ca="1">IFERROR(__xludf.DUMMYFUNCTION("""COMPUTED_VALUE"""),"Переход на Mobile SMARTS: Магазин 15, МЕГАМАРКЕТ для интеграции через REST API ")</f>
        <v xml:space="preserve">Переход на Mobile SMARTS: Магазин 15, МЕГАМАРКЕТ для интеграции через REST API </v>
      </c>
      <c r="F672" s="5">
        <f ca="1">IFERROR(__xludf.DUMMYFUNCTION("""COMPUTED_VALUE"""),11775)</f>
        <v>11775</v>
      </c>
    </row>
    <row r="673" spans="1:6" ht="44.25" customHeight="1" x14ac:dyDescent="0.2">
      <c r="A673" s="4" t="str">
        <f ca="1">IFERROR(__xludf.DUMMYFUNCTION("""COMPUTED_VALUE"""),"интеграции через REST API")</f>
        <v>интеграции через REST API</v>
      </c>
      <c r="B673" s="4" t="str">
        <f ca="1">IFERROR(__xludf.DUMMYFUNCTION("""COMPUTED_VALUE"""),"с ЕГАИС, БАЗОВЫЙ")</f>
        <v>с ЕГАИС, БАЗОВЫЙ</v>
      </c>
      <c r="C673" s="4" t="str">
        <f ca="1">IFERROR(__xludf.DUMMYFUNCTION("""COMPUTED_VALUE"""),"UP2-RTL15AE-REST")</f>
        <v>UP2-RTL15AE-REST</v>
      </c>
      <c r="D673" s="4" t="str">
        <f ca="1">IFERROR(__xludf.DUMMYFUNCTION("""COMPUTED_VALUE"""),"Переход на Mobile SMARTS: Магазин 15 с ЕГАИС, БАЗОВЫЙ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беспро"&amp;"водной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печа"&amp;"ть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ЕГАИС, БАЗОВЫЙ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73" s="4" t="str">
        <f ca="1">IFERROR(__xludf.DUMMYFUNCTION("""COMPUTED_VALUE"""),"Переход на Mobile SMARTS: Магазин 15 с ЕГАИС, БАЗОВЫЙ для интеграции через REST API ")</f>
        <v xml:space="preserve">Переход на Mobile SMARTS: Магазин 15 с ЕГАИС, БАЗОВЫЙ для интеграции через REST API </v>
      </c>
      <c r="F673" s="5">
        <f ca="1">IFERROR(__xludf.DUMMYFUNCTION("""COMPUTED_VALUE"""),6500)</f>
        <v>6500</v>
      </c>
    </row>
    <row r="674" spans="1:6" ht="44.25" customHeight="1" x14ac:dyDescent="0.2">
      <c r="A674" s="4" t="str">
        <f ca="1">IFERROR(__xludf.DUMMYFUNCTION("""COMPUTED_VALUE"""),"интеграции через REST API")</f>
        <v>интеграции через REST API</v>
      </c>
      <c r="B674" s="4" t="str">
        <f ca="1">IFERROR(__xludf.DUMMYFUNCTION("""COMPUTED_VALUE"""),"с ЕГАИС, РАСШИРЕННЫЙ")</f>
        <v>с ЕГАИС, РАСШИРЕННЫЙ</v>
      </c>
      <c r="C674" s="4" t="str">
        <f ca="1">IFERROR(__xludf.DUMMYFUNCTION("""COMPUTED_VALUE"""),"UP2-RTL15BE-REST")</f>
        <v>UP2-RTL15BE-REST</v>
      </c>
      <c r="D674" s="4" t="str">
        <f ca="1">IFERROR(__xludf.DUMMYFUNCTION("""COMPUTED_VALUE"""),"Переход на Mobile SMARTS: Магазин 15 с ЕГАИС, РАСШИРЕННЫЙ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бе"&amp;"спроводной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"&amp;"печать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(оди"&amp;"н) год")</f>
        <v>Переход на Mobile SMARTS: Магазин 15 с ЕГАИС, РАСШИРЕННЫЙ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4" s="4" t="str">
        <f ca="1">IFERROR(__xludf.DUMMYFUNCTION("""COMPUTED_VALUE"""),"Переход на Mobile SMARTS: Магазин 15 с ЕГАИС, РАСШИРЕННЫЙ для интеграции через REST API ")</f>
        <v xml:space="preserve">Переход на Mobile SMARTS: Магазин 15 с ЕГАИС, РАСШИРЕННЫЙ для интеграции через REST API </v>
      </c>
      <c r="F674" s="5">
        <f ca="1">IFERROR(__xludf.DUMMYFUNCTION("""COMPUTED_VALUE"""),9725)</f>
        <v>9725</v>
      </c>
    </row>
    <row r="675" spans="1:6" ht="44.25" customHeight="1" x14ac:dyDescent="0.2">
      <c r="A675" s="4" t="str">
        <f ca="1">IFERROR(__xludf.DUMMYFUNCTION("""COMPUTED_VALUE"""),"интеграции через REST API")</f>
        <v>интеграции через REST API</v>
      </c>
      <c r="B675" s="4" t="str">
        <f ca="1">IFERROR(__xludf.DUMMYFUNCTION("""COMPUTED_VALUE"""),"с ЕГАИС (без CheckMark2), МЕГАМАРКЕТ")</f>
        <v>с ЕГАИС (без CheckMark2), МЕГАМАРКЕТ</v>
      </c>
      <c r="C675" s="4" t="str">
        <f ca="1">IFERROR(__xludf.DUMMYFUNCTION("""COMPUTED_VALUE"""),"UP2-RTL15CEV-REST")</f>
        <v>UP2-RTL15CEV-REST</v>
      </c>
      <c r="D675" s="4" t="str">
        <f ca="1">IFERROR(__xludf.DUMMYFUNCTION("""COMPUTED_VALUE"""),"Переход на Mobile SMARTS: Магазин 15 с ЕГАИС (без CheckMark2), МЕГАМАРКЕТ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"&amp;"проводной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справочников"&amp;"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устройст"&amp;"во, подписка на обновления на 1 (один) год")</f>
        <v>Переход на Mobile SMARTS: Магазин 15 с ЕГАИС (без CheckMark2), МЕГАМАРКЕТ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5" s="4" t="str">
        <f ca="1">IFERROR(__xludf.DUMMYFUNCTION("""COMPUTED_VALUE"""),"Переход на Mobile SMARTS: Магазин 15 с ЕГАИС (без CheckMark2), МЕГАМАРКЕТ для интеграции через REST API ")</f>
        <v xml:space="preserve">Переход на Mobile SMARTS: Магазин 15 с ЕГАИС (без CheckMark2), МЕГАМАРКЕТ для интеграции через REST API </v>
      </c>
      <c r="F675" s="5">
        <f ca="1">IFERROR(__xludf.DUMMYFUNCTION("""COMPUTED_VALUE"""),12925)</f>
        <v>12925</v>
      </c>
    </row>
    <row r="676" spans="1:6" ht="44.25" customHeight="1" x14ac:dyDescent="0.2">
      <c r="A676" s="4" t="str">
        <f ca="1">IFERROR(__xludf.DUMMYFUNCTION("""COMPUTED_VALUE"""),"интеграции через REST API")</f>
        <v>интеграции через REST API</v>
      </c>
      <c r="B676" s="4" t="str">
        <f ca="1">IFERROR(__xludf.DUMMYFUNCTION("""COMPUTED_VALUE"""),"с МОТП, БАЗОВЫЙ")</f>
        <v>с МОТП, БАЗОВЫЙ</v>
      </c>
      <c r="C676" s="4" t="str">
        <f ca="1">IFERROR(__xludf.DUMMYFUNCTION("""COMPUTED_VALUE"""),"UP2-RTL15AT-REST")</f>
        <v>UP2-RTL15AT-REST</v>
      </c>
      <c r="D676" s="4" t="str">
        <f ca="1">IFERROR(__xludf.DUMMYFUNCTION("""COMPUTED_VALUE"""),"Переход на Mobile SMARTS: Магазин 15 с МОТП, БАЗОВЫЙ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об"&amp;"мен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нас"&amp;"тройки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МОТП, БАЗОВЫЙ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6" s="4" t="str">
        <f ca="1">IFERROR(__xludf.DUMMYFUNCTION("""COMPUTED_VALUE"""),"Переход на Mobile SMARTS: Магазин 15 с МОТП, БАЗОВЫЙ для интеграции через REST API ")</f>
        <v xml:space="preserve">Переход на Mobile SMARTS: Магазин 15 с МОТП, БАЗОВЫЙ для интеграции через REST API </v>
      </c>
      <c r="F676" s="5">
        <f ca="1">IFERROR(__xludf.DUMMYFUNCTION("""COMPUTED_VALUE"""),6575)</f>
        <v>6575</v>
      </c>
    </row>
    <row r="677" spans="1:6" ht="44.25" customHeight="1" x14ac:dyDescent="0.2">
      <c r="A677" s="4" t="str">
        <f ca="1">IFERROR(__xludf.DUMMYFUNCTION("""COMPUTED_VALUE"""),"интеграции через REST API")</f>
        <v>интеграции через REST API</v>
      </c>
      <c r="B677" s="4" t="str">
        <f ca="1">IFERROR(__xludf.DUMMYFUNCTION("""COMPUTED_VALUE"""),"с МОТП, РАСШИРЕННЫЙ")</f>
        <v>с МОТП, РАСШИРЕННЫЙ</v>
      </c>
      <c r="C677" s="4" t="str">
        <f ca="1">IFERROR(__xludf.DUMMYFUNCTION("""COMPUTED_VALUE"""),"UP2-RTL15BT-REST")</f>
        <v>UP2-RTL15BT-REST</v>
      </c>
      <c r="D677" s="4" t="str">
        <f ca="1">IFERROR(__xludf.DUMMYFUNCTION("""COMPUTED_VALUE"""),"Переход на Mobile SMARTS: Магазин 15 с МОТП, РАСШИРЕННЫЙ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беспроводно"&amp;"й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справочников,"&amp;"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"&amp;"год")</f>
        <v>Переход на Mobile SMARTS: Магазин 15 с МОТП, РАСШИРЕННЫЙ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7" s="4" t="str">
        <f ca="1">IFERROR(__xludf.DUMMYFUNCTION("""COMPUTED_VALUE"""),"Переход на Mobile SMARTS: Магазин 15 с МОТП, РАСШИРЕННЫЙ для интеграции через REST API ")</f>
        <v xml:space="preserve">Переход на Mobile SMARTS: Магазин 15 с МОТП, РАСШИРЕННЫЙ для интеграции через REST API </v>
      </c>
      <c r="F677" s="5">
        <f ca="1">IFERROR(__xludf.DUMMYFUNCTION("""COMPUTED_VALUE"""),9725)</f>
        <v>9725</v>
      </c>
    </row>
    <row r="678" spans="1:6" ht="44.25" customHeight="1" x14ac:dyDescent="0.2">
      <c r="A678" s="4" t="str">
        <f ca="1">IFERROR(__xludf.DUMMYFUNCTION("""COMPUTED_VALUE"""),"интеграции через REST API")</f>
        <v>интеграции через REST API</v>
      </c>
      <c r="B678" s="4" t="str">
        <f ca="1">IFERROR(__xludf.DUMMYFUNCTION("""COMPUTED_VALUE"""),"с МОТП, МЕГАМАРКЕТ")</f>
        <v>с МОТП, МЕГАМАРКЕТ</v>
      </c>
      <c r="C678" s="4" t="str">
        <f ca="1">IFERROR(__xludf.DUMMYFUNCTION("""COMPUTED_VALUE"""),"UP2-RTL15CT-REST")</f>
        <v>UP2-RTL15CT-REST</v>
      </c>
      <c r="D678" s="4" t="str">
        <f ca="1">IFERROR(__xludf.DUMMYFUNCTION("""COMPUTED_VALUE"""),"Переход на Mobile SMARTS: Магазин 15 с МОТП, МЕГАМАРКЕТ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беспроводной"&amp;"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"&amp;"настройки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на 1 (один) год")</f>
        <v>Переход на Mobile SMARTS: Магазин 15 с МОТП, МЕГАМАРКЕТ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8" s="4" t="str">
        <f ca="1">IFERROR(__xludf.DUMMYFUNCTION("""COMPUTED_VALUE"""),"Переход на Mobile SMARTS: Магазин 15 с МОТП, МЕГАМАРКЕТ для интеграции через REST API ")</f>
        <v xml:space="preserve">Переход на Mobile SMARTS: Магазин 15 с МОТП, МЕГАМАРКЕТ для интеграции через REST API </v>
      </c>
      <c r="F678" s="5">
        <f ca="1">IFERROR(__xludf.DUMMYFUNCTION("""COMPUTED_VALUE"""),12925)</f>
        <v>12925</v>
      </c>
    </row>
    <row r="679" spans="1:6" ht="44.25" customHeight="1" x14ac:dyDescent="0.2">
      <c r="A679" s="4" t="str">
        <f ca="1">IFERROR(__xludf.DUMMYFUNCTION("""COMPUTED_VALUE"""),"интеграции через REST API")</f>
        <v>интеграции через REST API</v>
      </c>
      <c r="B679" s="4" t="str">
        <f ca="1">IFERROR(__xludf.DUMMYFUNCTION("""COMPUTED_VALUE"""),"с ЕГАИС и МОТП, БАЗОВЫЙ")</f>
        <v>с ЕГАИС и МОТП, БАЗОВЫЙ</v>
      </c>
      <c r="C679" s="4" t="str">
        <f ca="1">IFERROR(__xludf.DUMMYFUNCTION("""COMPUTED_VALUE"""),"UP2-RTL15AET-REST")</f>
        <v>UP2-RTL15AET-REST</v>
      </c>
      <c r="D679" s="4" t="str">
        <f ca="1">IFERROR(__xludf.DUMMYFUNCTION("""COMPUTED_VALUE"""),"Переход на Mobile SMARTS: Магазин 15 с ЕГАИС и МОТП, БАЗОВЫЙ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вы"&amp;"бор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в"&amp;"озврат,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БАЗОВЫЙ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79" s="4" t="str">
        <f ca="1">IFERROR(__xludf.DUMMYFUNCTION("""COMPUTED_VALUE"""),"Переход на Mobile SMARTS: Магазин 15 с ЕГАИС и МОТП, БАЗОВЫЙ для интеграции через REST API ")</f>
        <v xml:space="preserve">Переход на Mobile SMARTS: Магазин 15 с ЕГАИС и МОТП, БАЗОВЫЙ для интеграции через REST API </v>
      </c>
      <c r="F679" s="5">
        <f ca="1">IFERROR(__xludf.DUMMYFUNCTION("""COMPUTED_VALUE"""),7075)</f>
        <v>7075</v>
      </c>
    </row>
    <row r="680" spans="1:6" ht="44.25" customHeight="1" x14ac:dyDescent="0.2">
      <c r="A680" s="4" t="str">
        <f ca="1">IFERROR(__xludf.DUMMYFUNCTION("""COMPUTED_VALUE"""),"интеграции через REST API")</f>
        <v>интеграции через REST API</v>
      </c>
      <c r="B680" s="4" t="str">
        <f ca="1">IFERROR(__xludf.DUMMYFUNCTION("""COMPUTED_VALUE"""),"с ЕГАИС и МОТП, РАСШИРЕННЫЙ")</f>
        <v>с ЕГАИС и МОТП, РАСШИРЕННЫЙ</v>
      </c>
      <c r="C680" s="4" t="str">
        <f ca="1">IFERROR(__xludf.DUMMYFUNCTION("""COMPUTED_VALUE"""),"UP2-RTL15BET-REST")</f>
        <v>UP2-RTL15BET-REST</v>
      </c>
      <c r="D680" s="4" t="str">
        <f ca="1">IFERROR(__xludf.DUMMYFUNCTION("""COMPUTED_VALUE"""),"Переход на Mobile SMARTS: Магазин 15 с ЕГАИС и МОТП, РАСШИРЕННЫЙ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н"&amp;"а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списани"&amp;"е,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"&amp;"ценах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РАСШИРЕННЫЙ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0" s="4" t="str">
        <f ca="1">IFERROR(__xludf.DUMMYFUNCTION("""COMPUTED_VALUE"""),"Переход на Mobile SMARTS: Магазин 15 с ЕГАИС и МОТП, РАСШИРЕННЫЙ для интеграции через REST API ")</f>
        <v xml:space="preserve">Переход на Mobile SMARTS: Магазин 15 с ЕГАИС и МОТП, РАСШИРЕННЫЙ для интеграции через REST API </v>
      </c>
      <c r="F680" s="5">
        <f ca="1">IFERROR(__xludf.DUMMYFUNCTION("""COMPUTED_VALUE"""),10275)</f>
        <v>10275</v>
      </c>
    </row>
    <row r="681" spans="1:6" ht="44.25" customHeight="1" x14ac:dyDescent="0.2">
      <c r="A681" s="4" t="str">
        <f ca="1">IFERROR(__xludf.DUMMYFUNCTION("""COMPUTED_VALUE"""),"интеграции через REST API")</f>
        <v>интеграции через REST API</v>
      </c>
      <c r="B681" s="4" t="str">
        <f ca="1">IFERROR(__xludf.DUMMYFUNCTION("""COMPUTED_VALUE"""),"с ЕГАИС и МОТП, МЕГАМАРКЕТ")</f>
        <v>с ЕГАИС и МОТП, МЕГАМАРКЕТ</v>
      </c>
      <c r="C681" s="4" t="str">
        <f ca="1">IFERROR(__xludf.DUMMYFUNCTION("""COMPUTED_VALUE"""),"UP2-RTL15CET-REST")</f>
        <v>UP2-RTL15CET-REST</v>
      </c>
      <c r="D681" s="4" t="str">
        <f ca="1">IFERROR(__xludf.DUMMYFUNCTION("""COMPUTED_VALUE"""),"Переход на Mobile SMARTS: Магазин 15 с ЕГАИС и МОТП, МЕГАМАРКЕТ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на"&amp;"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списание"&amp;",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контр"&amp;"агентах,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МЕГАМАРКЕТ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1" s="4" t="str">
        <f ca="1">IFERROR(__xludf.DUMMYFUNCTION("""COMPUTED_VALUE"""),"Переход на Mobile SMARTS: Магазин 15 с ЕГАИС и МОТП, МЕГАМАРКЕТ для интеграции через REST API ")</f>
        <v xml:space="preserve">Переход на Mobile SMARTS: Магазин 15 с ЕГАИС и МОТП, МЕГАМАРКЕТ для интеграции через REST API </v>
      </c>
      <c r="F681" s="5">
        <f ca="1">IFERROR(__xludf.DUMMYFUNCTION("""COMPUTED_VALUE"""),14175)</f>
        <v>14175</v>
      </c>
    </row>
    <row r="682" spans="1:6" ht="44.25" customHeight="1" x14ac:dyDescent="0.2">
      <c r="A682" s="4" t="str">
        <f ca="1">IFERROR(__xludf.DUMMYFUNCTION("""COMPUTED_VALUE"""),"интеграции через REST API")</f>
        <v>интеграции через REST API</v>
      </c>
      <c r="B682" s="4" t="str">
        <f ca="1">IFERROR(__xludf.DUMMYFUNCTION("""COMPUTED_VALUE"""),"ШМОТКИ, БАЗОВЫЙ")</f>
        <v>ШМОТКИ, БАЗОВЫЙ</v>
      </c>
      <c r="C682" s="4" t="str">
        <f ca="1">IFERROR(__xludf.DUMMYFUNCTION("""COMPUTED_VALUE"""),"UP2-RTL15AK-REST")</f>
        <v>UP2-RTL15AK-REST</v>
      </c>
      <c r="D682" s="4" t="str">
        <f ca="1">IFERROR(__xludf.DUMMYFUNCTION("""COMPUTED_VALUE"""),"Переход на Mobile SMARTS: Магазин 15 с КИРОВКОЙ, БАЗОВЫЙ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выбор"&amp;"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штрихкод"&amp;"ов,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"&amp;"на обновления на 1 (один) год")</f>
        <v>Переход на Mobile SMARTS: Магазин 15 с КИРОВКОЙ, БАЗОВЫЙ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2" s="4" t="str">
        <f ca="1">IFERROR(__xludf.DUMMYFUNCTION("""COMPUTED_VALUE"""),"Переход на Mobile SMARTS: Магазин 15 с КИРОВКОЙ, БАЗОВЫЙ для интеграции через REST API ")</f>
        <v xml:space="preserve">Переход на Mobile SMARTS: Магазин 15 с КИРОВКОЙ, БАЗОВЫЙ для интеграции через REST API </v>
      </c>
      <c r="F682" s="5">
        <f ca="1">IFERROR(__xludf.DUMMYFUNCTION("""COMPUTED_VALUE"""),7075)</f>
        <v>7075</v>
      </c>
    </row>
    <row r="683" spans="1:6" ht="44.25" customHeight="1" x14ac:dyDescent="0.2">
      <c r="A683" s="4" t="str">
        <f ca="1">IFERROR(__xludf.DUMMYFUNCTION("""COMPUTED_VALUE"""),"интеграции через REST API")</f>
        <v>интеграции через REST API</v>
      </c>
      <c r="B683" s="4" t="str">
        <f ca="1">IFERROR(__xludf.DUMMYFUNCTION("""COMPUTED_VALUE"""),"ШМОТКИ, РАСШИРЕННЫЙ")</f>
        <v>ШМОТКИ, РАСШИРЕННЫЙ</v>
      </c>
      <c r="C683" s="4" t="str">
        <f ca="1">IFERROR(__xludf.DUMMYFUNCTION("""COMPUTED_VALUE"""),"UP2-RTL15BK-REST")</f>
        <v>UP2-RTL15BK-REST</v>
      </c>
      <c r="D683" s="4" t="str">
        <f ca="1">IFERROR(__xludf.DUMMYFUNCTION("""COMPUTED_VALUE"""),"Переход на Mobile SMARTS: Магазин 15 с КИРОВКОЙ, РАСШИРЕННЫЙ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в"&amp;"ыбор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штри"&amp;"хкодов,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подпи"&amp;"ска на обновления на 1 (один) год")</f>
        <v>Переход на Mobile SMARTS: Магазин 15 с КИРОВКОЙ, РАСШИРЕННЫЙ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3" s="4" t="str">
        <f ca="1">IFERROR(__xludf.DUMMYFUNCTION("""COMPUTED_VALUE"""),"Переход на Mobile SMARTS: Магазин 15 с КИРОВКОЙ, РАСШИРЕННЫЙ для интеграции через REST API ")</f>
        <v xml:space="preserve">Переход на Mobile SMARTS: Магазин 15 с КИРОВКОЙ, РАСШИРЕННЫЙ для интеграции через REST API </v>
      </c>
      <c r="F683" s="5">
        <f ca="1">IFERROR(__xludf.DUMMYFUNCTION("""COMPUTED_VALUE"""),10275)</f>
        <v>10275</v>
      </c>
    </row>
    <row r="684" spans="1:6" ht="44.25" customHeight="1" x14ac:dyDescent="0.2">
      <c r="A684" s="4" t="str">
        <f ca="1">IFERROR(__xludf.DUMMYFUNCTION("""COMPUTED_VALUE"""),"интеграции через REST API")</f>
        <v>интеграции через REST API</v>
      </c>
      <c r="B684" s="4" t="str">
        <f ca="1">IFERROR(__xludf.DUMMYFUNCTION("""COMPUTED_VALUE"""),"ШМОТКИ, МЕГАМАРКЕТ")</f>
        <v>ШМОТКИ, МЕГАМАРКЕТ</v>
      </c>
      <c r="C684" s="4" t="str">
        <f ca="1">IFERROR(__xludf.DUMMYFUNCTION("""COMPUTED_VALUE"""),"UP2-RTL15CK-REST")</f>
        <v>UP2-RTL15CK-REST</v>
      </c>
      <c r="D684" s="4" t="str">
        <f ca="1">IFERROR(__xludf.DUMMYFUNCTION("""COMPUTED_VALUE"""),"Переход на Mobile SMARTS: Магазин 15 с КИРОВКОЙ, МЕГАМАРКЕТ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вы"&amp;"бор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штрих"&amp;"кодов,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мо"&amp;"б. устройство, подписка на обновления на 1 (один) год")</f>
        <v>Переход на Mobile SMARTS: Магазин 15 с КИРОВКОЙ, МЕГАМАРКЕТ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4" s="4" t="str">
        <f ca="1">IFERROR(__xludf.DUMMYFUNCTION("""COMPUTED_VALUE"""),"Переход на Mobile SMARTS: Магазин 15 с КИРОВКОЙ, МЕГАМАРКЕТ для интеграции через REST API ")</f>
        <v xml:space="preserve">Переход на Mobile SMARTS: Магазин 15 с КИРОВКОЙ, МЕГАМАРКЕТ для интеграции через REST API </v>
      </c>
      <c r="F684" s="5">
        <f ca="1">IFERROR(__xludf.DUMMYFUNCTION("""COMPUTED_VALUE"""),14175)</f>
        <v>14175</v>
      </c>
    </row>
    <row r="685" spans="1:6" ht="44.25" customHeight="1" x14ac:dyDescent="0.2">
      <c r="A685" s="4" t="str">
        <f ca="1">IFERROR(__xludf.DUMMYFUNCTION("""COMPUTED_VALUE"""),"интеграции через REST API")</f>
        <v>интеграции через REST API</v>
      </c>
      <c r="B685" s="4" t="str">
        <f ca="1">IFERROR(__xludf.DUMMYFUNCTION("""COMPUTED_VALUE"""),"с МДЛП, БАЗОВЫЙ")</f>
        <v>с МДЛП, БАЗОВЫЙ</v>
      </c>
      <c r="C685" s="4" t="str">
        <f ca="1">IFERROR(__xludf.DUMMYFUNCTION("""COMPUTED_VALUE"""),"UP2-RTL15AL-REST")</f>
        <v>UP2-RTL15AL-REST</v>
      </c>
      <c r="D685" s="4" t="str">
        <f ca="1">IFERROR(__xludf.DUMMYFUNCTION("""COMPUTED_VALUE"""),"Переход на Mobile SMARTS: Магазин 15 с МДЛП, БАЗОВЫЙ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ил"&amp;"и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"&amp;"справочников,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обновления"&amp;" на 1 (один) год")</f>
        <v>Переход на Mobile SMARTS: Магазин 15 с МДЛП, БАЗОВЫЙ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5" s="4" t="str">
        <f ca="1">IFERROR(__xludf.DUMMYFUNCTION("""COMPUTED_VALUE"""),"Переход на Mobile SMARTS: Магазин 15 с МДЛП, БАЗОВЫЙ для интеграции через REST API ")</f>
        <v xml:space="preserve">Переход на Mobile SMARTS: Магазин 15 с МДЛП, БАЗОВЫЙ для интеграции через REST API </v>
      </c>
      <c r="F685" s="5">
        <f ca="1">IFERROR(__xludf.DUMMYFUNCTION("""COMPUTED_VALUE"""),5229)</f>
        <v>5229</v>
      </c>
    </row>
    <row r="686" spans="1:6" ht="44.25" customHeight="1" x14ac:dyDescent="0.2">
      <c r="A686" s="4" t="str">
        <f ca="1">IFERROR(__xludf.DUMMYFUNCTION("""COMPUTED_VALUE"""),"интеграции через REST API")</f>
        <v>интеграции через REST API</v>
      </c>
      <c r="B686" s="4" t="str">
        <f ca="1">IFERROR(__xludf.DUMMYFUNCTION("""COMPUTED_VALUE"""),"с МДЛП, РАСШИРЕННЫЙ")</f>
        <v>с МДЛП, РАСШИРЕННЫЙ</v>
      </c>
      <c r="C686" s="4" t="str">
        <f ca="1">IFERROR(__xludf.DUMMYFUNCTION("""COMPUTED_VALUE"""),"UP2-RTL15BL-REST")</f>
        <v>UP2-RTL15BL-REST</v>
      </c>
      <c r="D686" s="4" t="str">
        <f ca="1">IFERROR(__xludf.DUMMYFUNCTION("""COMPUTED_VALUE"""),"Переход на Mobile SMARTS: Магазин 15 с МДЛП, РАСШИРЕННЫЙ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проводно"&amp;"й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просм"&amp;"отр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на 1 (один) год")</f>
        <v>Переход на Mobile SMARTS: Магазин 15 с МДЛП, РАСШИРЕННЫЙ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6" s="4" t="str">
        <f ca="1">IFERROR(__xludf.DUMMYFUNCTION("""COMPUTED_VALUE"""),"Переход на Mobile SMARTS: Магазин 15 с МДЛП, РАСШИРЕННЫЙ для интеграции через REST API ")</f>
        <v xml:space="preserve">Переход на Mobile SMARTS: Магазин 15 с МДЛП, РАСШИРЕННЫЙ для интеграции через REST API </v>
      </c>
      <c r="F686" s="5">
        <f ca="1">IFERROR(__xludf.DUMMYFUNCTION("""COMPUTED_VALUE"""),7689)</f>
        <v>7689</v>
      </c>
    </row>
    <row r="687" spans="1:6" ht="44.25" customHeight="1" x14ac:dyDescent="0.2">
      <c r="A687" s="4" t="str">
        <f ca="1">IFERROR(__xludf.DUMMYFUNCTION("""COMPUTED_VALUE"""),"интеграции через REST API")</f>
        <v>интеграции через REST API</v>
      </c>
      <c r="B687" s="4" t="str">
        <f ca="1">IFERROR(__xludf.DUMMYFUNCTION("""COMPUTED_VALUE"""),"с МДЛП, МЕГАМАРКЕТ")</f>
        <v>с МДЛП, МЕГАМАРКЕТ</v>
      </c>
      <c r="C687" s="4" t="str">
        <f ca="1">IFERROR(__xludf.DUMMYFUNCTION("""COMPUTED_VALUE"""),"UP2-RTL15CL-REST")</f>
        <v>UP2-RTL15CL-REST</v>
      </c>
      <c r="D687" s="4" t="str">
        <f ca="1">IFERROR(__xludf.DUMMYFUNCTION("""COMPUTED_VALUE"""),"Переход на Mobile SMARTS: Магазин 15 с МДЛП, МЕГАМАРКЕТ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проводной"&amp;"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просмо"&amp;"тр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устройство"&amp;", подписка на обновления на 1 (один) год")</f>
        <v>Переход на Mobile SMARTS: Магазин 15 с МДЛП, МЕГАМАРКЕТ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87" s="4" t="str">
        <f ca="1">IFERROR(__xludf.DUMMYFUNCTION("""COMPUTED_VALUE"""),"Переход на Mobile SMARTS: Магазин 15 с МДЛП, МЕГАМАРКЕТ для интеграции через REST API ")</f>
        <v xml:space="preserve">Переход на Mobile SMARTS: Магазин 15 с МДЛП, МЕГАМАРКЕТ для интеграции через REST API </v>
      </c>
      <c r="F687" s="5">
        <f ca="1">IFERROR(__xludf.DUMMYFUNCTION("""COMPUTED_VALUE"""),11349)</f>
        <v>11349</v>
      </c>
    </row>
    <row r="688" spans="1:6" ht="44.25" customHeight="1" x14ac:dyDescent="0.2">
      <c r="A688" s="4" t="str">
        <f ca="1">IFERROR(__xludf.DUMMYFUNCTION("""COMPUTED_VALUE"""),"интеграции через REST API")</f>
        <v>интеграции через REST API</v>
      </c>
      <c r="B688" s="4" t="str">
        <f ca="1">IFERROR(__xludf.DUMMYFUNCTION("""COMPUTED_VALUE"""),"ПРОДУКТОВЫЙ, БАЗОВЫЙ")</f>
        <v>ПРОДУКТОВЫЙ, БАЗОВЫЙ</v>
      </c>
      <c r="C688" s="4" t="str">
        <f ca="1">IFERROR(__xludf.DUMMYFUNCTION("""COMPUTED_VALUE"""),"UP2-RTL15AG-REST")</f>
        <v>UP2-RTL15AG-REST</v>
      </c>
      <c r="D688" s="4" t="str">
        <f ca="1">IFERROR(__xludf.DUMMYFUNCTION("""COMPUTED_VALUE"""),"Переход на Mobile SMARTS: Магазин 15 ПРОДУКТОВЫЙ, БАЗОВЫЙ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ПАРФЮМ"&amp;",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печа"&amp;"тью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"&amp;"складах,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88" s="4" t="str">
        <f ca="1">IFERROR(__xludf.DUMMYFUNCTION("""COMPUTED_VALUE"""),"Переход на Mobile SMARTS: Магазин 15 ПРОДУКТОВЫЙ, БАЗОВЫЙ для интеграции через REST API ")</f>
        <v xml:space="preserve">Переход на Mobile SMARTS: Магазин 15 ПРОДУКТОВЫЙ, БАЗОВЫЙ для интеграции через REST API </v>
      </c>
      <c r="F688" s="5">
        <f ca="1">IFERROR(__xludf.DUMMYFUNCTION("""COMPUTED_VALUE"""),6579)</f>
        <v>6579</v>
      </c>
    </row>
    <row r="689" spans="1:6" ht="44.25" customHeight="1" x14ac:dyDescent="0.2">
      <c r="A689" s="4" t="str">
        <f ca="1">IFERROR(__xludf.DUMMYFUNCTION("""COMPUTED_VALUE"""),"интеграции через REST API")</f>
        <v>интеграции через REST API</v>
      </c>
      <c r="B689" s="4" t="str">
        <f ca="1">IFERROR(__xludf.DUMMYFUNCTION("""COMPUTED_VALUE"""),"ПРОДУКТОВЫЙ, РАСШИРЕННЫЙ")</f>
        <v>ПРОДУКТОВЫЙ, РАСШИРЕННЫЙ</v>
      </c>
      <c r="C689" s="4" t="str">
        <f ca="1">IFERROR(__xludf.DUMMYFUNCTION("""COMPUTED_VALUE"""),"UP2-RTL15BG-REST")</f>
        <v>UP2-RTL15BG-REST</v>
      </c>
      <c r="D689" s="4" t="str">
        <f ca="1">IFERROR(__xludf.DUMMYFUNCTION("""COMPUTED_VALUE"""),"Переход на Mobile SMARTS: Магазин 15 ПРОДУКТОВЫЙ, РАСШИРЕННЫЙ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ПА"&amp;"РФЮМ,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"&amp;"печатью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това"&amp;"ре,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89" s="4" t="str">
        <f ca="1">IFERROR(__xludf.DUMMYFUNCTION("""COMPUTED_VALUE"""),"Переход на Mobile SMARTS: Магазин 15 ПРОДУКТОВЫЙ, РАСШИРЕННЫЙ для интеграции через REST API ")</f>
        <v xml:space="preserve">Переход на Mobile SMARTS: Магазин 15 ПРОДУКТОВЫЙ, РАСШИРЕННЫЙ для интеграции через REST API </v>
      </c>
      <c r="F689" s="5">
        <f ca="1">IFERROR(__xludf.DUMMYFUNCTION("""COMPUTED_VALUE"""),9039)</f>
        <v>9039</v>
      </c>
    </row>
    <row r="690" spans="1:6" ht="44.25" customHeight="1" x14ac:dyDescent="0.2">
      <c r="A690" s="4" t="str">
        <f ca="1">IFERROR(__xludf.DUMMYFUNCTION("""COMPUTED_VALUE"""),"интеграции через REST API")</f>
        <v>интеграции через REST API</v>
      </c>
      <c r="B690" s="4" t="str">
        <f ca="1">IFERROR(__xludf.DUMMYFUNCTION("""COMPUTED_VALUE"""),"ПРОДУКТОВЫЙ, МЕГАМАРКЕТ")</f>
        <v>ПРОДУКТОВЫЙ, МЕГАМАРКЕТ</v>
      </c>
      <c r="C690" s="4" t="str">
        <f ca="1">IFERROR(__xludf.DUMMYFUNCTION("""COMPUTED_VALUE"""),"UP2-RTL15CG-REST")</f>
        <v>UP2-RTL15CG-REST</v>
      </c>
      <c r="D690" s="4" t="str">
        <f ca="1">IFERROR(__xludf.DUMMYFUNCTION("""COMPUTED_VALUE"""),"Переход на Mobile SMARTS: Магазин 15 ПРОДУКТОВЫЙ, МЕГАМАРКЕТ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ПАР"&amp;"ФЮМ,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п"&amp;"ечатью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работ"&amp;"а,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90" s="4" t="str">
        <f ca="1">IFERROR(__xludf.DUMMYFUNCTION("""COMPUTED_VALUE"""),"Переход на Mobile SMARTS: Магазин 15 ПРОДУКТОВЫЙ, МЕГАМАРКЕТ для интеграции через REST API ")</f>
        <v xml:space="preserve">Переход на Mobile SMARTS: Магазин 15 ПРОДУКТОВЫЙ, МЕГАМАРКЕТ для интеграции через REST API </v>
      </c>
      <c r="F690" s="5">
        <f ca="1">IFERROR(__xludf.DUMMYFUNCTION("""COMPUTED_VALUE"""),15084.5)</f>
        <v>15084.5</v>
      </c>
    </row>
    <row r="691" spans="1:6" ht="44.25" customHeight="1" x14ac:dyDescent="0.2">
      <c r="A691" s="4" t="str">
        <f ca="1">IFERROR(__xludf.DUMMYFUNCTION("""COMPUTED_VALUE"""),"интеграции с программой Супермаг-2000 в формате «SuperKitMobile»")</f>
        <v>интеграции с программой Супермаг-2000 в формате «SuperKitMobile»</v>
      </c>
      <c r="B691" s="4" t="str">
        <f ca="1">IFERROR(__xludf.DUMMYFUNCTION("""COMPUTED_VALUE"""),"БАЗОВЫЙ")</f>
        <v>БАЗОВЫЙ</v>
      </c>
      <c r="C691" s="4" t="str">
        <f ca="1">IFERROR(__xludf.DUMMYFUNCTION("""COMPUTED_VALUE"""),"UP2-RTL15A-SUPERMAG")</f>
        <v>UP2-RTL15A-SUPERMAG</v>
      </c>
      <c r="D691" s="4" t="str">
        <f ca="1">IFERROR(__xludf.DUMMYFUNCTION("""COMPUTED_VALUE"""),"Переход на Mobile SMARTS: Магазин 15, БАЗОВЫЙ для интеграции с программой Супермаг-2000 в формате «SuperKitMobile» / на выбор проводной или беспроводной обмен / нет онлайна / доступные операции: переоценка, инвентаризация, поступление / возможности: измен"&amp;"ение существующих операций / нельзя добавлять свои операции / бессрочная лицензия на 1 (одно) моб. устройство, подписка на обновления на 1 (один) год")</f>
        <v>Переход на Mobile SMARTS: Магазин 15, БАЗОВЫЙ для интеграции с программой Супермаг-2000 в формате «SuperKitMobile» / на выбор проводной или беспроводной обмен / нет онлайна / доступные операции: переоценка, инвентаризация, поступление / возможности: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91" s="4" t="str">
        <f ca="1">IFERROR(__xludf.DUMMYFUNCTION("""COMPUTED_VALUE"""),"Переход на Mobile SMARTS: Магазин 15, БАЗОВЫЙ для интеграции с программой Супермаг-2000 в формате «SuperKitMobile» ")</f>
        <v xml:space="preserve">Переход на Mobile SMARTS: Магазин 15, БАЗОВЫЙ для интеграции с программой Супермаг-2000 в формате «SuperKitMobile» </v>
      </c>
      <c r="F691" s="5">
        <f ca="1">IFERROR(__xludf.DUMMYFUNCTION("""COMPUTED_VALUE"""),5325)</f>
        <v>5325</v>
      </c>
    </row>
    <row r="692" spans="1:6" ht="44.25" customHeight="1" x14ac:dyDescent="0.2">
      <c r="A692" s="4" t="str">
        <f ca="1">IFERROR(__xludf.DUMMYFUNCTION("""COMPUTED_VALUE"""),"интеграции с SAP R/3 через REST/OLE/TXT")</f>
        <v>интеграции с SAP R/3 через REST/OLE/TXT</v>
      </c>
      <c r="B692" s="4" t="str">
        <f ca="1">IFERROR(__xludf.DUMMYFUNCTION("""COMPUTED_VALUE"""),"МИНИМУМ")</f>
        <v>МИНИМУМ</v>
      </c>
      <c r="C692" s="4" t="str">
        <f ca="1">IFERROR(__xludf.DUMMYFUNCTION("""COMPUTED_VALUE"""),"UP2-RTL15M-SAPR3")</f>
        <v>UP2-RTL15M-SAPR3</v>
      </c>
      <c r="D692" s="4" t="str">
        <f ca="1">IFERROR(__xludf.DUMMYFUNCTION("""COMPUTED_VALUE"""),"Переход на Mobile SMARTS: Магазин 15, МИНИМУМ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онлайна"&amp;"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по"&amp;"дписка на обновления на 1 (один) год")</f>
        <v>Переход на Mobile SMARTS: Магазин 15, МИНИМУМ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692" s="4" t="str">
        <f ca="1">IFERROR(__xludf.DUMMYFUNCTION("""COMPUTED_VALUE"""),"Переход на Mobile SMARTS: Магазин 15, МИНИМУМ для интеграции с SAP R/3 через REST/OLE/TXT ")</f>
        <v xml:space="preserve">Переход на Mobile SMARTS: Магазин 15, МИНИМУМ для интеграции с SAP R/3 через REST/OLE/TXT </v>
      </c>
      <c r="F692" s="5">
        <f ca="1">IFERROR(__xludf.DUMMYFUNCTION("""COMPUTED_VALUE"""),2725)</f>
        <v>2725</v>
      </c>
    </row>
    <row r="693" spans="1:6" ht="44.25" customHeight="1" x14ac:dyDescent="0.2">
      <c r="A693" s="4" t="str">
        <f ca="1">IFERROR(__xludf.DUMMYFUNCTION("""COMPUTED_VALUE"""),"интеграции с SAP R/3 через REST/OLE/TXT")</f>
        <v>интеграции с SAP R/3 через REST/OLE/TXT</v>
      </c>
      <c r="B693" s="4" t="str">
        <f ca="1">IFERROR(__xludf.DUMMYFUNCTION("""COMPUTED_VALUE"""),"БАЗОВЫЙ")</f>
        <v>БАЗОВЫЙ</v>
      </c>
      <c r="C693" s="4" t="str">
        <f ca="1">IFERROR(__xludf.DUMMYFUNCTION("""COMPUTED_VALUE"""),"UP2-RTL15A-SAPR3")</f>
        <v>UP2-RTL15A-SAPR3</v>
      </c>
      <c r="D693" s="4" t="str">
        <f ca="1">IFERROR(__xludf.DUMMYFUNCTION("""COMPUTED_VALUE"""),"Переход на Mobile SMARTS: Магазин 15, БАЗОВЫЙ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онлайна"&amp;"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контраген"&amp;"тах,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БАЗОВЫЙ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3" s="4" t="str">
        <f ca="1">IFERROR(__xludf.DUMMYFUNCTION("""COMPUTED_VALUE"""),"Переход на Mobile SMARTS: Магазин 15, БАЗОВЫЙ для интеграции с SAP R/3 через REST/OLE/TXT ")</f>
        <v xml:space="preserve">Переход на Mobile SMARTS: Магазин 15, БАЗОВЫЙ для интеграции с SAP R/3 через REST/OLE/TXT </v>
      </c>
      <c r="F693" s="5">
        <f ca="1">IFERROR(__xludf.DUMMYFUNCTION("""COMPUTED_VALUE"""),5325)</f>
        <v>5325</v>
      </c>
    </row>
    <row r="694" spans="1:6" ht="44.25" customHeight="1" x14ac:dyDescent="0.2">
      <c r="A694" s="4" t="str">
        <f ca="1">IFERROR(__xludf.DUMMYFUNCTION("""COMPUTED_VALUE"""),"интеграции с SAP R/3 через REST/OLE/TXT")</f>
        <v>интеграции с SAP R/3 через REST/OLE/TXT</v>
      </c>
      <c r="B694" s="4" t="str">
        <f ca="1">IFERROR(__xludf.DUMMYFUNCTION("""COMPUTED_VALUE"""),"РАСШИРЕННЫЙ")</f>
        <v>РАСШИРЕННЫЙ</v>
      </c>
      <c r="C694" s="4" t="str">
        <f ca="1">IFERROR(__xludf.DUMMYFUNCTION("""COMPUTED_VALUE"""),"UP2-RTL15B-SAPR3")</f>
        <v>UP2-RTL15B-SAPR3</v>
      </c>
      <c r="D694" s="4" t="str">
        <f ca="1">IFERROR(__xludf.DUMMYFUNCTION("""COMPUTED_VALUE"""),"Переход на Mobile SMARTS: Магазин 15, РАСШИРЕННЫЙ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ОН"&amp;"ЛАЙН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контр"&amp;"агентах,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РАСШИРЕННЫЙ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4" s="4" t="str">
        <f ca="1">IFERROR(__xludf.DUMMYFUNCTION("""COMPUTED_VALUE"""),"Переход на Mobile SMARTS: Магазин 15, РАСШИРЕННЫЙ для интеграции с SAP R/3 через REST/OLE/TXT ")</f>
        <v xml:space="preserve">Переход на Mobile SMARTS: Магазин 15, РАСШИРЕННЫЙ для интеграции с SAP R/3 через REST/OLE/TXT </v>
      </c>
      <c r="F694" s="5">
        <f ca="1">IFERROR(__xludf.DUMMYFUNCTION("""COMPUTED_VALUE"""),8525)</f>
        <v>8525</v>
      </c>
    </row>
    <row r="695" spans="1:6" ht="44.25" customHeight="1" x14ac:dyDescent="0.2">
      <c r="A695" s="4" t="str">
        <f ca="1">IFERROR(__xludf.DUMMYFUNCTION("""COMPUTED_VALUE"""),"интеграции с SAP R/3 через REST/OLE/TXT")</f>
        <v>интеграции с SAP R/3 через REST/OLE/TXT</v>
      </c>
      <c r="B695" s="4" t="str">
        <f ca="1">IFERROR(__xludf.DUMMYFUNCTION("""COMPUTED_VALUE"""),"МЕГАМАРКЕТ")</f>
        <v>МЕГАМАРКЕТ</v>
      </c>
      <c r="C695" s="4" t="str">
        <f ca="1">IFERROR(__xludf.DUMMYFUNCTION("""COMPUTED_VALUE"""),"UP2-RTL15C-SAPR3")</f>
        <v>UP2-RTL15C-SAPR3</v>
      </c>
      <c r="D695" s="4" t="str">
        <f ca="1">IFERROR(__xludf.DUMMYFUNCTION("""COMPUTED_VALUE"""),"Переход на Mobile SMARTS: Магазин 15, МЕГАМАРКЕТ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ОНЛ"&amp;"АЙН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то"&amp;"варе,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МЕГАМАРКЕТ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5" s="4" t="str">
        <f ca="1">IFERROR(__xludf.DUMMYFUNCTION("""COMPUTED_VALUE"""),"Переход на Mobile SMARTS: Магазин 15, МЕГАМАРКЕТ для интеграции с SAP R/3 через REST/OLE/TXT ")</f>
        <v xml:space="preserve">Переход на Mobile SMARTS: Магазин 15, МЕГАМАРКЕТ для интеграции с SAP R/3 через REST/OLE/TXT </v>
      </c>
      <c r="F695" s="5">
        <f ca="1">IFERROR(__xludf.DUMMYFUNCTION("""COMPUTED_VALUE"""),11775)</f>
        <v>11775</v>
      </c>
    </row>
    <row r="696" spans="1:6" ht="44.25" customHeight="1" x14ac:dyDescent="0.2">
      <c r="A696" s="4" t="str">
        <f ca="1">IFERROR(__xludf.DUMMYFUNCTION("""COMPUTED_VALUE"""),"интеграции с SAP R/3 через REST/OLE/TXT")</f>
        <v>интеграции с SAP R/3 через REST/OLE/TXT</v>
      </c>
      <c r="B696" s="4" t="str">
        <f ca="1">IFERROR(__xludf.DUMMYFUNCTION("""COMPUTED_VALUE"""),"с ЕГАИС, БАЗОВЫЙ")</f>
        <v>с ЕГАИС, БАЗОВЫЙ</v>
      </c>
      <c r="C696" s="4" t="str">
        <f ca="1">IFERROR(__xludf.DUMMYFUNCTION("""COMPUTED_VALUE"""),"UP2-RTL15AE-SAPR3")</f>
        <v>UP2-RTL15AE-SAPR3</v>
      </c>
      <c r="D696" s="4" t="str">
        <f ca="1">IFERROR(__xludf.DUMMYFUNCTION("""COMPUTED_VALUE"""),"Переход на Mobile SMARTS: Магазин 15 с ЕГАИС,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провод"&amp;"ной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воз"&amp;"можности: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1"&amp;" (один) год")</f>
        <v>Переход на Mobile SMARTS: Магазин 15 с ЕГАИС,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696" s="4" t="str">
        <f ca="1">IFERROR(__xludf.DUMMYFUNCTION("""COMPUTED_VALUE"""),"Переход на Mobile SMARTS: Магазин 15 с ЕГАИС, БАЗОВЫЙ для интеграции с SAP R/3 через REST/OLE/TXT ")</f>
        <v xml:space="preserve">Переход на Mobile SMARTS: Магазин 15 с ЕГАИС, БАЗОВЫЙ для интеграции с SAP R/3 через REST/OLE/TXT </v>
      </c>
      <c r="F696" s="5">
        <f ca="1">IFERROR(__xludf.DUMMYFUNCTION("""COMPUTED_VALUE"""),6500)</f>
        <v>6500</v>
      </c>
    </row>
    <row r="697" spans="1:6" ht="44.25" customHeight="1" x14ac:dyDescent="0.2">
      <c r="A697" s="4" t="str">
        <f ca="1">IFERROR(__xludf.DUMMYFUNCTION("""COMPUTED_VALUE"""),"интеграции с SAP R/3 через REST/OLE/TXT")</f>
        <v>интеграции с SAP R/3 через REST/OLE/TXT</v>
      </c>
      <c r="B697" s="4" t="str">
        <f ca="1">IFERROR(__xludf.DUMMYFUNCTION("""COMPUTED_VALUE"""),"с ЕГАИС, РАСШИРЕННЫЙ")</f>
        <v>с ЕГАИС, РАСШИРЕННЫЙ</v>
      </c>
      <c r="C697" s="4" t="str">
        <f ca="1">IFERROR(__xludf.DUMMYFUNCTION("""COMPUTED_VALUE"""),"UP2-RTL15BE-SAPR3")</f>
        <v>UP2-RTL15BE-SAPR3</v>
      </c>
      <c r="D697" s="4" t="str">
        <f ca="1">IFERROR(__xludf.DUMMYFUNCTION("""COMPUTED_VALUE"""),"Переход на Mobile SMARTS: Магазин 15 с ЕГАИС,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пр"&amp;"оводной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/"&amp;"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на 1 (один) год")</f>
        <v>Переход на Mobile SMARTS: Магазин 15 с ЕГАИС,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7" s="4" t="str">
        <f ca="1">IFERROR(__xludf.DUMMYFUNCTION("""COMPUTED_VALUE"""),"Переход на Mobile SMARTS: Магазин 15 с ЕГАИС, РАСШИРЕННЫЙ для интеграции с SAP R/3 через REST/OLE/TXT ")</f>
        <v xml:space="preserve">Переход на Mobile SMARTS: Магазин 15 с ЕГАИС, РАСШИРЕННЫЙ для интеграции с SAP R/3 через REST/OLE/TXT </v>
      </c>
      <c r="F697" s="5">
        <f ca="1">IFERROR(__xludf.DUMMYFUNCTION("""COMPUTED_VALUE"""),9725)</f>
        <v>9725</v>
      </c>
    </row>
    <row r="698" spans="1:6" ht="44.25" customHeight="1" x14ac:dyDescent="0.2">
      <c r="A698" s="4" t="str">
        <f ca="1">IFERROR(__xludf.DUMMYFUNCTION("""COMPUTED_VALUE"""),"интеграции с SAP R/3 через REST/OLE/TXT")</f>
        <v>интеграции с SAP R/3 через REST/OLE/TXT</v>
      </c>
      <c r="B698" s="4" t="str">
        <f ca="1">IFERROR(__xludf.DUMMYFUNCTION("""COMPUTED_VALUE"""),"с ЕГАИС (без CheckMark2), МЕГАМАРКЕТ")</f>
        <v>с ЕГАИС (без CheckMark2), МЕГАМАРКЕТ</v>
      </c>
      <c r="C698" s="4" t="str">
        <f ca="1">IFERROR(__xludf.DUMMYFUNCTION("""COMPUTED_VALUE"""),"UP2-RTL15CEV-SAPR3")</f>
        <v>UP2-RTL15CEV-SAPR3</v>
      </c>
      <c r="D698" s="4" t="str">
        <f ca="1">IFERROR(__xludf.DUMMYFUNCTION("""COMPUTED_VALUE"""),"Переход на Mobile SMARTS: Магазин 15 с ЕГАИС (без CheckMark2),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штрихкод"&amp;"ам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просмот"&amp;"р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(одно)"&amp;" моб. устройство, подписка на обновления на 1 (один) год")</f>
        <v>Переход на Mobile SMARTS: Магазин 15 с ЕГАИС (без CheckMark2),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8" s="4" t="str">
        <f ca="1">IFERROR(__xludf.DUMMYFUNCTION("""COMPUTED_VALUE"""),"Переход на Mobile SMARTS: Магазин 15 с ЕГАИС (без CheckMark2), МЕГАМАРКЕТ для интеграции с SAP R/3 через REST/OLE/TXT ")</f>
        <v xml:space="preserve">Переход на Mobile SMARTS: Магазин 15 с ЕГАИС (без CheckMark2), МЕГАМАРКЕТ для интеграции с SAP R/3 через REST/OLE/TXT </v>
      </c>
      <c r="F698" s="5">
        <f ca="1">IFERROR(__xludf.DUMMYFUNCTION("""COMPUTED_VALUE"""),12925)</f>
        <v>12925</v>
      </c>
    </row>
    <row r="699" spans="1:6" ht="44.25" customHeight="1" x14ac:dyDescent="0.2">
      <c r="A699" s="4" t="str">
        <f ca="1">IFERROR(__xludf.DUMMYFUNCTION("""COMPUTED_VALUE"""),"интеграции с SAP R/3 через REST/OLE/TXT")</f>
        <v>интеграции с SAP R/3 через REST/OLE/TXT</v>
      </c>
      <c r="B699" s="4" t="str">
        <f ca="1">IFERROR(__xludf.DUMMYFUNCTION("""COMPUTED_VALUE"""),"с МОТП, БАЗОВЫЙ")</f>
        <v>с МОТП, БАЗОВЫЙ</v>
      </c>
      <c r="C699" s="4" t="str">
        <f ca="1">IFERROR(__xludf.DUMMYFUNCTION("""COMPUTED_VALUE"""),"UP2-RTL15AT-SAPR3")</f>
        <v>UP2-RTL15AT-SAPR3</v>
      </c>
      <c r="D699" s="4" t="str">
        <f ca="1">IFERROR(__xludf.DUMMYFUNCTION("""COMPUTED_VALUE"""),"Переход на Mobile SMARTS: Магазин 15 с МОТП, БАЗОВЫЙ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б"&amp;"еспроводной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спр"&amp;"авочников,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на"&amp;" 1 (один) год")</f>
        <v>Переход на Mobile SMARTS: Магазин 15 с МОТП, БАЗОВЫЙ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699" s="4" t="str">
        <f ca="1">IFERROR(__xludf.DUMMYFUNCTION("""COMPUTED_VALUE"""),"Переход на Mobile SMARTS: Магазин 15 с МОТП, БАЗОВЫЙ для интеграции с SAP R/3 через REST/OLE/TXT ")</f>
        <v xml:space="preserve">Переход на Mobile SMARTS: Магазин 15 с МОТП, БАЗОВЫЙ для интеграции с SAP R/3 через REST/OLE/TXT </v>
      </c>
      <c r="F699" s="5">
        <f ca="1">IFERROR(__xludf.DUMMYFUNCTION("""COMPUTED_VALUE"""),6575)</f>
        <v>6575</v>
      </c>
    </row>
    <row r="700" spans="1:6" ht="44.25" customHeight="1" x14ac:dyDescent="0.2">
      <c r="A700" s="4" t="str">
        <f ca="1">IFERROR(__xludf.DUMMYFUNCTION("""COMPUTED_VALUE"""),"интеграции с SAP R/3 через REST/OLE/TXT")</f>
        <v>интеграции с SAP R/3 через REST/OLE/TXT</v>
      </c>
      <c r="B700" s="4" t="str">
        <f ca="1">IFERROR(__xludf.DUMMYFUNCTION("""COMPUTED_VALUE"""),"с МОТП, РАСШИРЕННЫЙ")</f>
        <v>с МОТП, РАСШИРЕННЫЙ</v>
      </c>
      <c r="C700" s="4" t="str">
        <f ca="1">IFERROR(__xludf.DUMMYFUNCTION("""COMPUTED_VALUE"""),"UP2-RTL15BT-SAPR3")</f>
        <v>UP2-RTL15BT-SAPR3</v>
      </c>
      <c r="D700" s="4" t="str">
        <f ca="1">IFERROR(__xludf.DUMMYFUNCTION("""COMPUTED_VALUE"""),"Переход на Mobile SMARTS: Магазин 15 с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и"&amp;"ли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просмотр"&amp;"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обновлени"&amp;"я на 1 (один) год")</f>
        <v>Переход на Mobile SMARTS: Магазин 15 с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0" s="4" t="str">
        <f ca="1">IFERROR(__xludf.DUMMYFUNCTION("""COMPUTED_VALUE"""),"Переход на Mobile SMARTS: Магазин 15 с МОТП, РАСШИРЕННЫЙ для интеграции с SAP R/3 через REST/OLE/TXT ")</f>
        <v xml:space="preserve">Переход на Mobile SMARTS: Магазин 15 с МОТП, РАСШИРЕННЫЙ для интеграции с SAP R/3 через REST/OLE/TXT </v>
      </c>
      <c r="F700" s="5">
        <f ca="1">IFERROR(__xludf.DUMMYFUNCTION("""COMPUTED_VALUE"""),9725)</f>
        <v>9725</v>
      </c>
    </row>
    <row r="701" spans="1:6" ht="44.25" customHeight="1" x14ac:dyDescent="0.2">
      <c r="A701" s="4" t="str">
        <f ca="1">IFERROR(__xludf.DUMMYFUNCTION("""COMPUTED_VALUE"""),"интеграции с SAP R/3 через REST/OLE/TXT")</f>
        <v>интеграции с SAP R/3 через REST/OLE/TXT</v>
      </c>
      <c r="B701" s="4" t="str">
        <f ca="1">IFERROR(__xludf.DUMMYFUNCTION("""COMPUTED_VALUE"""),"с МОТП, МЕГАМАРКЕТ")</f>
        <v>с МОТП, МЕГАМАРКЕТ</v>
      </c>
      <c r="C701" s="4" t="str">
        <f ca="1">IFERROR(__xludf.DUMMYFUNCTION("""COMPUTED_VALUE"""),"UP2-RTL15CT-SAPR3")</f>
        <v>UP2-RTL15CT-SAPR3</v>
      </c>
      <c r="D701" s="4" t="str">
        <f ca="1">IFERROR(__xludf.DUMMYFUNCTION("""COMPUTED_VALUE"""),"Переход на Mobile SMARTS: Магазин 15 с МОТП, МЕГАМАРКЕТ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ил"&amp;"и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"&amp;"справочников,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п"&amp;"одписка на обновления на 1 (один) год")</f>
        <v>Переход на Mobile SMARTS: Магазин 15 с МОТП, МЕГАМАРКЕТ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1" s="4" t="str">
        <f ca="1">IFERROR(__xludf.DUMMYFUNCTION("""COMPUTED_VALUE"""),"Переход на Mobile SMARTS: Магазин 15 с МОТП, МЕГАМАРКЕТ для интеграции с SAP R/3 через REST/OLE/TXT ")</f>
        <v xml:space="preserve">Переход на Mobile SMARTS: Магазин 15 с МОТП, МЕГАМАРКЕТ для интеграции с SAP R/3 через REST/OLE/TXT </v>
      </c>
      <c r="F701" s="5">
        <f ca="1">IFERROR(__xludf.DUMMYFUNCTION("""COMPUTED_VALUE"""),12925)</f>
        <v>12925</v>
      </c>
    </row>
    <row r="702" spans="1:6" ht="44.25" customHeight="1" x14ac:dyDescent="0.2">
      <c r="A702" s="4" t="str">
        <f ca="1">IFERROR(__xludf.DUMMYFUNCTION("""COMPUTED_VALUE"""),"интеграции с SAP R/3 через REST/OLE/TXT")</f>
        <v>интеграции с SAP R/3 через REST/OLE/TXT</v>
      </c>
      <c r="B702" s="4" t="str">
        <f ca="1">IFERROR(__xludf.DUMMYFUNCTION("""COMPUTED_VALUE"""),"с ЕГАИС и МОТП, БАЗОВЫЙ")</f>
        <v>с ЕГАИС и МОТП, БАЗОВЫЙ</v>
      </c>
      <c r="C702" s="4" t="str">
        <f ca="1">IFERROR(__xludf.DUMMYFUNCTION("""COMPUTED_VALUE"""),"UP2-RTL15AET-SAPR3")</f>
        <v>UP2-RTL15AET-SAPR3</v>
      </c>
      <c r="D702" s="4" t="str">
        <f ca="1">IFERROR(__xludf.DUMMYFUNCTION("""COMPUTED_VALUE"""),"Переход на Mobile SMARTS: Магазин 15 с ЕГАИС и МОТП,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штри"&amp;"хкодам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о"&amp;"статках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2" s="4" t="str">
        <f ca="1">IFERROR(__xludf.DUMMYFUNCTION("""COMPUTED_VALUE"""),"Переход на Mobile SMARTS: Магазин 15 с ЕГАИС и МОТП, БАЗОВЫЙ для интеграции с SAP R/3 через REST/OLE/TXT ")</f>
        <v xml:space="preserve">Переход на Mobile SMARTS: Магазин 15 с ЕГАИС и МОТП, БАЗОВЫЙ для интеграции с SAP R/3 через REST/OLE/TXT </v>
      </c>
      <c r="F702" s="5">
        <f ca="1">IFERROR(__xludf.DUMMYFUNCTION("""COMPUTED_VALUE"""),7075)</f>
        <v>7075</v>
      </c>
    </row>
    <row r="703" spans="1:6" ht="44.25" customHeight="1" x14ac:dyDescent="0.2">
      <c r="A703" s="4" t="str">
        <f ca="1">IFERROR(__xludf.DUMMYFUNCTION("""COMPUTED_VALUE"""),"интеграции с SAP R/3 через REST/OLE/TXT")</f>
        <v>интеграции с SAP R/3 через REST/OLE/TXT</v>
      </c>
      <c r="B703" s="4" t="str">
        <f ca="1">IFERROR(__xludf.DUMMYFUNCTION("""COMPUTED_VALUE"""),"с ЕГАИС и МОТП, РАСШИРЕННЫЙ")</f>
        <v>с ЕГАИС и МОТП, РАСШИРЕННЫЙ</v>
      </c>
      <c r="C703" s="4" t="str">
        <f ca="1">IFERROR(__xludf.DUMMYFUNCTION("""COMPUTED_VALUE"""),"UP2-RTL15BET-SAPR3")</f>
        <v>UP2-RTL15BET-SAPR3</v>
      </c>
      <c r="D703" s="4" t="str">
        <f ca="1">IFERROR(__xludf.DUMMYFUNCTION("""COMPUTED_VALUE"""),"Переход на Mobile SMARTS: Магазин 15 с ЕГАИС и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"&amp;"штрихкодам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при"&amp;"нтер),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контрагента"&amp;"х,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3" s="4" t="str">
        <f ca="1">IFERROR(__xludf.DUMMYFUNCTION("""COMPUTED_VALUE"""),"Переход на Mobile SMARTS: Магазин 15 с ЕГАИС и МОТП, РАСШИРЕННЫЙ для интеграции с SAP R/3 через REST/OLE/TXT ")</f>
        <v xml:space="preserve">Переход на Mobile SMARTS: Магазин 15 с ЕГАИС и МОТП, РАСШИРЕННЫЙ для интеграции с SAP R/3 через REST/OLE/TXT </v>
      </c>
      <c r="F703" s="5">
        <f ca="1">IFERROR(__xludf.DUMMYFUNCTION("""COMPUTED_VALUE"""),10275)</f>
        <v>10275</v>
      </c>
    </row>
    <row r="704" spans="1:6" ht="44.25" customHeight="1" x14ac:dyDescent="0.2">
      <c r="A704" s="4" t="str">
        <f ca="1">IFERROR(__xludf.DUMMYFUNCTION("""COMPUTED_VALUE"""),"интеграции с SAP R/3 через REST/OLE/TXT")</f>
        <v>интеграции с SAP R/3 через REST/OLE/TXT</v>
      </c>
      <c r="B704" s="4" t="str">
        <f ca="1">IFERROR(__xludf.DUMMYFUNCTION("""COMPUTED_VALUE"""),"с ЕГАИС и МОТП, МЕГАМАРКЕТ")</f>
        <v>с ЕГАИС и МОТП, МЕГАМАРКЕТ</v>
      </c>
      <c r="C704" s="4" t="str">
        <f ca="1">IFERROR(__xludf.DUMMYFUNCTION("""COMPUTED_VALUE"""),"UP2-RTL15CET-SAPR3")</f>
        <v>UP2-RTL15CET-SAPR3</v>
      </c>
      <c r="D704" s="4" t="str">
        <f ca="1">IFERROR(__xludf.DUMMYFUNCTION("""COMPUTED_VALUE"""),"Переход на Mobile SMARTS: Магазин 15 с ЕГАИС и МОТП,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ш"&amp;"трихкодам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прин"&amp;"тер),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"&amp;"складах,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4" s="4" t="str">
        <f ca="1">IFERROR(__xludf.DUMMYFUNCTION("""COMPUTED_VALUE"""),"Переход на Mobile SMARTS: Магазин 15 с ЕГАИС и МОТП, МЕГАМАРКЕТ для интеграции с SAP R/3 через REST/OLE/TXT ")</f>
        <v xml:space="preserve">Переход на Mobile SMARTS: Магазин 15 с ЕГАИС и МОТП, МЕГАМАРКЕТ для интеграции с SAP R/3 через REST/OLE/TXT </v>
      </c>
      <c r="F704" s="5">
        <f ca="1">IFERROR(__xludf.DUMMYFUNCTION("""COMPUTED_VALUE"""),14175)</f>
        <v>14175</v>
      </c>
    </row>
    <row r="705" spans="1:6" ht="44.25" customHeight="1" x14ac:dyDescent="0.2">
      <c r="A705" s="4" t="str">
        <f ca="1">IFERROR(__xludf.DUMMYFUNCTION("""COMPUTED_VALUE"""),"интеграции с SAP R/3 через REST/OLE/TXT")</f>
        <v>интеграции с SAP R/3 через REST/OLE/TXT</v>
      </c>
      <c r="B705" s="4" t="str">
        <f ca="1">IFERROR(__xludf.DUMMYFUNCTION("""COMPUTED_VALUE"""),"ШМОТКИ, БАЗОВЫЙ")</f>
        <v>ШМОТКИ, БАЗОВЫЙ</v>
      </c>
      <c r="C705" s="4" t="str">
        <f ca="1">IFERROR(__xludf.DUMMYFUNCTION("""COMPUTED_VALUE"""),"UP2-RTL15AK-SAPR3")</f>
        <v>UP2-RTL15AK-SAPR3</v>
      </c>
      <c r="D705" s="4" t="str">
        <f ca="1">IFERROR(__xludf.DUMMYFUNCTION("""COMPUTED_VALUE"""),"Переход на Mobile SMARTS: Магазин 15 с КИРОВКОЙ, БАЗОВЫЙ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штрихко"&amp;"дам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перемещение,"&amp;"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устройс"&amp;"тво, подписка на обновления на 1 (один) год")</f>
        <v>Переход на Mobile SMARTS: Магазин 15 с КИРОВКОЙ, БАЗОВЫЙ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5" s="4" t="str">
        <f ca="1">IFERROR(__xludf.DUMMYFUNCTION("""COMPUTED_VALUE"""),"Переход на Mobile SMARTS: Магазин 15 с КИРОВКОЙ, БАЗОВЫЙ для интеграции с SAP R/3 через REST/OLE/TXT ")</f>
        <v xml:space="preserve">Переход на Mobile SMARTS: Магазин 15 с КИРОВКОЙ, БАЗОВЫЙ для интеграции с SAP R/3 через REST/OLE/TXT </v>
      </c>
      <c r="F705" s="5">
        <f ca="1">IFERROR(__xludf.DUMMYFUNCTION("""COMPUTED_VALUE"""),7075)</f>
        <v>7075</v>
      </c>
    </row>
    <row r="706" spans="1:6" ht="44.25" customHeight="1" x14ac:dyDescent="0.2">
      <c r="A706" s="4" t="str">
        <f ca="1">IFERROR(__xludf.DUMMYFUNCTION("""COMPUTED_VALUE"""),"интеграции с SAP R/3 через REST/OLE/TXT")</f>
        <v>интеграции с SAP R/3 через REST/OLE/TXT</v>
      </c>
      <c r="B706" s="4" t="str">
        <f ca="1">IFERROR(__xludf.DUMMYFUNCTION("""COMPUTED_VALUE"""),"ШМОТКИ, РАСШИРЕННЫЙ")</f>
        <v>ШМОТКИ, РАСШИРЕННЫЙ</v>
      </c>
      <c r="C706" s="4" t="str">
        <f ca="1">IFERROR(__xludf.DUMMYFUNCTION("""COMPUTED_VALUE"""),"UP2-RTL15BK-SAPR3")</f>
        <v>UP2-RTL15BK-SAPR3</v>
      </c>
      <c r="D706" s="4" t="str">
        <f ca="1">IFERROR(__xludf.DUMMYFUNCTION("""COMPUTED_VALUE"""),"Переход на Mobile SMARTS: Магазин 15 с КИРОВКОЙ, РАСШИРЕННЫЙ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штр"&amp;"ихкодам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уст"&amp;"ройство, подписка на обновления на 1 (один) год")</f>
        <v>Переход на Mobile SMARTS: Магазин 15 с КИРОВКОЙ, РАСШИРЕННЫЙ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6" s="4" t="str">
        <f ca="1">IFERROR(__xludf.DUMMYFUNCTION("""COMPUTED_VALUE"""),"Переход на Mobile SMARTS: Магазин 15 с КИРОВКОЙ, РАСШИРЕННЫЙ для интеграции с SAP R/3 через REST/OLE/TXT ")</f>
        <v xml:space="preserve">Переход на Mobile SMARTS: Магазин 15 с КИРОВКОЙ, РАСШИРЕННЫЙ для интеграции с SAP R/3 через REST/OLE/TXT </v>
      </c>
      <c r="F706" s="5">
        <f ca="1">IFERROR(__xludf.DUMMYFUNCTION("""COMPUTED_VALUE"""),10275)</f>
        <v>10275</v>
      </c>
    </row>
    <row r="707" spans="1:6" ht="44.25" customHeight="1" x14ac:dyDescent="0.2">
      <c r="A707" s="4" t="str">
        <f ca="1">IFERROR(__xludf.DUMMYFUNCTION("""COMPUTED_VALUE"""),"интеграции с SAP R/3 через REST/OLE/TXT")</f>
        <v>интеграции с SAP R/3 через REST/OLE/TXT</v>
      </c>
      <c r="B707" s="4" t="str">
        <f ca="1">IFERROR(__xludf.DUMMYFUNCTION("""COMPUTED_VALUE"""),"ШМОТКИ, МЕГАМАРКЕТ")</f>
        <v>ШМОТКИ, МЕГАМАРКЕТ</v>
      </c>
      <c r="C707" s="4" t="str">
        <f ca="1">IFERROR(__xludf.DUMMYFUNCTION("""COMPUTED_VALUE"""),"UP2-RTL15CK-SAPR3")</f>
        <v>UP2-RTL15CK-SAPR3</v>
      </c>
      <c r="D707" s="4" t="str">
        <f ca="1">IFERROR(__xludf.DUMMYFUNCTION("""COMPUTED_VALUE"""),"Переход на Mobile SMARTS: Магазин 15 с КИРОВКОЙ, МЕГАМАРКЕТ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штри"&amp;"хкодам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перемещен"&amp;"ие,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"&amp;"на 1 (одно) моб. устройство, подписка на обновления на 1 (один) год")</f>
        <v>Переход на Mobile SMARTS: Магазин 15 с КИРОВКОЙ, МЕГАМАРКЕТ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7" s="4" t="str">
        <f ca="1">IFERROR(__xludf.DUMMYFUNCTION("""COMPUTED_VALUE"""),"Переход на Mobile SMARTS: Магазин 15 с КИРОВКОЙ, МЕГАМАРКЕТ для интеграции с SAP R/3 через REST/OLE/TXT ")</f>
        <v xml:space="preserve">Переход на Mobile SMARTS: Магазин 15 с КИРОВКОЙ, МЕГАМАРКЕТ для интеграции с SAP R/3 через REST/OLE/TXT </v>
      </c>
      <c r="F707" s="5">
        <f ca="1">IFERROR(__xludf.DUMMYFUNCTION("""COMPUTED_VALUE"""),14175)</f>
        <v>14175</v>
      </c>
    </row>
    <row r="708" spans="1:6" ht="44.25" customHeight="1" x14ac:dyDescent="0.2">
      <c r="A708" s="4" t="str">
        <f ca="1">IFERROR(__xludf.DUMMYFUNCTION("""COMPUTED_VALUE"""),"интеграции с SAP R/3 через REST/OLE/TXT")</f>
        <v>интеграции с SAP R/3 через REST/OLE/TXT</v>
      </c>
      <c r="B708" s="4" t="str">
        <f ca="1">IFERROR(__xludf.DUMMYFUNCTION("""COMPUTED_VALUE"""),"с МДЛП, БАЗОВЫЙ")</f>
        <v>с МДЛП, БАЗОВЫЙ</v>
      </c>
      <c r="C708" s="4" t="str">
        <f ca="1">IFERROR(__xludf.DUMMYFUNCTION("""COMPUTED_VALUE"""),"UP2-RTL15AL-SAPR3")</f>
        <v>UP2-RTL15AL-SAPR3</v>
      </c>
      <c r="D708" s="4" t="str">
        <f ca="1">IFERROR(__xludf.DUMMYFUNCTION("""COMPUTED_VALUE"""),"Переход на Mobile SMARTS: Магазин 15 с МДЛП,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выбо"&amp;"р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подписка"&amp;" на обновления на 1 (один) год")</f>
        <v>Переход на Mobile SMARTS: Магазин 15 с МДЛП,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8" s="4" t="str">
        <f ca="1">IFERROR(__xludf.DUMMYFUNCTION("""COMPUTED_VALUE"""),"Переход на Mobile SMARTS: Магазин 15 с МДЛП, БАЗОВЫЙ для интеграции с SAP R/3 через REST/OLE/TXT ")</f>
        <v xml:space="preserve">Переход на Mobile SMARTS: Магазин 15 с МДЛП, БАЗОВЫЙ для интеграции с SAP R/3 через REST/OLE/TXT </v>
      </c>
      <c r="F708" s="5">
        <f ca="1">IFERROR(__xludf.DUMMYFUNCTION("""COMPUTED_VALUE"""),5229)</f>
        <v>5229</v>
      </c>
    </row>
    <row r="709" spans="1:6" ht="44.25" customHeight="1" x14ac:dyDescent="0.2">
      <c r="A709" s="4" t="str">
        <f ca="1">IFERROR(__xludf.DUMMYFUNCTION("""COMPUTED_VALUE"""),"интеграции с SAP R/3 через REST/OLE/TXT")</f>
        <v>интеграции с SAP R/3 через REST/OLE/TXT</v>
      </c>
      <c r="B709" s="4" t="str">
        <f ca="1">IFERROR(__xludf.DUMMYFUNCTION("""COMPUTED_VALUE"""),"с МДЛП, РАСШИРЕННЫЙ")</f>
        <v>с МДЛП, РАСШИРЕННЫЙ</v>
      </c>
      <c r="C709" s="4" t="str">
        <f ca="1">IFERROR(__xludf.DUMMYFUNCTION("""COMPUTED_VALUE"""),"UP2-RTL15BL-SAPR3")</f>
        <v>UP2-RTL15BL-SAPR3</v>
      </c>
      <c r="D709" s="4" t="str">
        <f ca="1">IFERROR(__xludf.DUMMYFUNCTION("""COMPUTED_VALUE"""),"Переход на Mobile SMARTS: Магазин 15 с МДЛП,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"&amp;"выбор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штр"&amp;"ихкодов,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подп"&amp;"иска на обновления на 1 (один) год")</f>
        <v>Переход на Mobile SMARTS: Магазин 15 с МДЛП,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09" s="4" t="str">
        <f ca="1">IFERROR(__xludf.DUMMYFUNCTION("""COMPUTED_VALUE"""),"Переход на Mobile SMARTS: Магазин 15 с МДЛП, РАСШИРЕННЫЙ для интеграции с SAP R/3 через REST/OLE/TXT ")</f>
        <v xml:space="preserve">Переход на Mobile SMARTS: Магазин 15 с МДЛП, РАСШИРЕННЫЙ для интеграции с SAP R/3 через REST/OLE/TXT </v>
      </c>
      <c r="F709" s="5">
        <f ca="1">IFERROR(__xludf.DUMMYFUNCTION("""COMPUTED_VALUE"""),7689)</f>
        <v>7689</v>
      </c>
    </row>
    <row r="710" spans="1:6" ht="44.25" customHeight="1" x14ac:dyDescent="0.2">
      <c r="A710" s="4" t="str">
        <f ca="1">IFERROR(__xludf.DUMMYFUNCTION("""COMPUTED_VALUE"""),"интеграции с SAP R/3 через REST/OLE/TXT")</f>
        <v>интеграции с SAP R/3 через REST/OLE/TXT</v>
      </c>
      <c r="B710" s="4" t="str">
        <f ca="1">IFERROR(__xludf.DUMMYFUNCTION("""COMPUTED_VALUE"""),"с МДЛП, МЕГАМАРКЕТ")</f>
        <v>с МДЛП, МЕГАМАРКЕТ</v>
      </c>
      <c r="C710" s="4" t="str">
        <f ca="1">IFERROR(__xludf.DUMMYFUNCTION("""COMPUTED_VALUE"""),"UP2-RTL15CL-SAPR3")</f>
        <v>UP2-RTL15CL-SAPR3</v>
      </c>
      <c r="D710" s="4" t="str">
        <f ca="1">IFERROR(__xludf.DUMMYFUNCTION("""COMPUTED_VALUE"""),"Переход на Mobile SMARTS: Магазин 15 с МДЛП,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в"&amp;"ыбор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штри"&amp;"хкодов,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м"&amp;"об. устройство, подписка на обновления на 1 (один) год")</f>
        <v>Переход на Mobile SMARTS: Магазин 15 с МДЛП,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0" s="4" t="str">
        <f ca="1">IFERROR(__xludf.DUMMYFUNCTION("""COMPUTED_VALUE"""),"Переход на Mobile SMARTS: Магазин 15 с МДЛП, МЕГАМАРКЕТ для интеграции с SAP R/3 через REST/OLE/TXT ")</f>
        <v xml:space="preserve">Переход на Mobile SMARTS: Магазин 15 с МДЛП, МЕГАМАРКЕТ для интеграции с SAP R/3 через REST/OLE/TXT </v>
      </c>
      <c r="F710" s="5">
        <f ca="1">IFERROR(__xludf.DUMMYFUNCTION("""COMPUTED_VALUE"""),11349)</f>
        <v>11349</v>
      </c>
    </row>
    <row r="711" spans="1:6" ht="44.25" customHeight="1" x14ac:dyDescent="0.2">
      <c r="A711" s="4" t="str">
        <f ca="1">IFERROR(__xludf.DUMMYFUNCTION("""COMPUTED_VALUE"""),"интеграции с SAP R/3 через REST/OLE/TXT")</f>
        <v>интеграции с SAP R/3 через REST/OLE/TXT</v>
      </c>
      <c r="B711" s="4" t="str">
        <f ca="1">IFERROR(__xludf.DUMMYFUNCTION("""COMPUTED_VALUE"""),"ПРОДУКТОВЫЙ, БАЗОВЫЙ")</f>
        <v>ПРОДУКТОВЫЙ, БАЗОВЫЙ</v>
      </c>
      <c r="C711" s="4" t="str">
        <f ca="1">IFERROR(__xludf.DUMMYFUNCTION("""COMPUTED_VALUE"""),"UP2-RTL15AG-SAPR3")</f>
        <v>UP2-RTL15AG-SAPR3</v>
      </c>
      <c r="D711" s="4" t="str">
        <f ca="1">IFERROR(__xludf.DUMMYFUNCTION("""COMPUTED_VALUE"""),"Переход на Mobile SMARTS: Магазин 15 ПРОДУКТОВЫЙ,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ОДЕЖДА,"&amp;"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"&amp;"(в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информа"&amp;"ция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11" s="4" t="str">
        <f ca="1">IFERROR(__xludf.DUMMYFUNCTION("""COMPUTED_VALUE"""),"Переход на Mobile SMARTS: Магазин 15 ПРОДУКТОВЫЙ, БАЗОВЫЙ для интеграции с SAP R/3 через REST/OLE/TXT ")</f>
        <v xml:space="preserve">Переход на Mobile SMARTS: Магазин 15 ПРОДУКТОВЫЙ, БАЗОВЫЙ для интеграции с SAP R/3 через REST/OLE/TXT </v>
      </c>
      <c r="F711" s="5">
        <f ca="1">IFERROR(__xludf.DUMMYFUNCTION("""COMPUTED_VALUE"""),6579)</f>
        <v>6579</v>
      </c>
    </row>
    <row r="712" spans="1:6" ht="44.25" customHeight="1" x14ac:dyDescent="0.2">
      <c r="A712" s="4" t="str">
        <f ca="1">IFERROR(__xludf.DUMMYFUNCTION("""COMPUTED_VALUE"""),"интеграции с SAP R/3 через REST/OLE/TXT")</f>
        <v>интеграции с SAP R/3 через REST/OLE/TXT</v>
      </c>
      <c r="B712" s="4" t="str">
        <f ca="1">IFERROR(__xludf.DUMMYFUNCTION("""COMPUTED_VALUE"""),"ПРОДУКТОВЫЙ, РАСШИРЕННЫЙ")</f>
        <v>ПРОДУКТОВЫЙ, РАСШИРЕННЫЙ</v>
      </c>
      <c r="C712" s="4" t="str">
        <f ca="1">IFERROR(__xludf.DUMMYFUNCTION("""COMPUTED_VALUE"""),"UP2-RTL15BG-SAPR3")</f>
        <v>UP2-RTL15BG-SAPR3</v>
      </c>
      <c r="D712" s="4" t="str">
        <f ca="1">IFERROR(__xludf.DUMMYFUNCTION("""COMPUTED_VALUE"""),"Переход на Mobile SMARTS: Магазин 15 ПРОДУКТОВЫЙ,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ОДЕ"&amp;"ЖДА,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переоце"&amp;"нка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инф"&amp;"ормация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12" s="4" t="str">
        <f ca="1">IFERROR(__xludf.DUMMYFUNCTION("""COMPUTED_VALUE"""),"Переход на Mobile SMARTS: Магазин 15 ПРОДУКТОВЫЙ, РАСШИРЕННЫЙ для интеграции с SAP R/3 через REST/OLE/TXT ")</f>
        <v xml:space="preserve">Переход на Mobile SMARTS: Магазин 15 ПРОДУКТОВЫЙ, РАСШИРЕННЫЙ для интеграции с SAP R/3 через REST/OLE/TXT </v>
      </c>
      <c r="F712" s="5">
        <f ca="1">IFERROR(__xludf.DUMMYFUNCTION("""COMPUTED_VALUE"""),9039)</f>
        <v>9039</v>
      </c>
    </row>
    <row r="713" spans="1:6" ht="44.25" customHeight="1" x14ac:dyDescent="0.2">
      <c r="A713" s="4" t="str">
        <f ca="1">IFERROR(__xludf.DUMMYFUNCTION("""COMPUTED_VALUE"""),"интеграции с SAP R/3 через REST/OLE/TXT")</f>
        <v>интеграции с SAP R/3 через REST/OLE/TXT</v>
      </c>
      <c r="B713" s="4" t="str">
        <f ca="1">IFERROR(__xludf.DUMMYFUNCTION("""COMPUTED_VALUE"""),"ПРОДУКТОВЫЙ, МЕГАМАРКЕТ")</f>
        <v>ПРОДУКТОВЫЙ, МЕГАМАРКЕТ</v>
      </c>
      <c r="C713" s="4" t="str">
        <f ca="1">IFERROR(__xludf.DUMMYFUNCTION("""COMPUTED_VALUE"""),"UP2-RTL15CG-SAPR3")</f>
        <v>UP2-RTL15CG-SAPR3</v>
      </c>
      <c r="D713" s="4" t="str">
        <f ca="1">IFERROR(__xludf.DUMMYFUNCTION("""COMPUTED_VALUE"""),"Переход на Mobile SMARTS: Магазин 15 ПРОДУКТОВЫЙ,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ОДЕЖ"&amp;"ДА,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переоцен"&amp;"ка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колл"&amp;"ективная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13" s="4" t="str">
        <f ca="1">IFERROR(__xludf.DUMMYFUNCTION("""COMPUTED_VALUE"""),"Переход на Mobile SMARTS: Магазин 15 ПРОДУКТОВЫЙ, МЕГАМАРКЕТ для интеграции с SAP R/3 через REST/OLE/TXT ")</f>
        <v xml:space="preserve">Переход на Mobile SMARTS: Магазин 15 ПРОДУКТОВЫЙ, МЕГАМАРКЕТ для интеграции с SAP R/3 через REST/OLE/TXT </v>
      </c>
      <c r="F713" s="5">
        <f ca="1">IFERROR(__xludf.DUMMYFUNCTION("""COMPUTED_VALUE"""),15084.5)</f>
        <v>15084.5</v>
      </c>
    </row>
    <row r="714" spans="1:6" ht="44.25" customHeight="1" x14ac:dyDescent="0.2">
      <c r="A714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4" s="4" t="str">
        <f ca="1">IFERROR(__xludf.DUMMYFUNCTION("""COMPUTED_VALUE"""),"МИНИМУМ")</f>
        <v>МИНИМУМ</v>
      </c>
      <c r="C714" s="4" t="str">
        <f ca="1">IFERROR(__xludf.DUMMYFUNCTION("""COMPUTED_VALUE"""),"UP2-RTL15M-MSAX")</f>
        <v>UP2-RTL15M-MSAX</v>
      </c>
      <c r="D714" s="4" t="str">
        <f ca="1">IFERROR(__xludf.DUMMYFUNCTION("""COMPUTED_VALUE"""),"Переход на Mobile SMARTS: Магазин 15, МИНИМУМ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беспровод"&amp;"ной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(од"&amp;"но) моб. устройство, подписка на обновления на 1 (один) год")</f>
        <v>Переход на Mobile SMARTS: Магазин 15, МИНИМУМ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714" s="4" t="str">
        <f ca="1">IFERROR(__xludf.DUMMYFUNCTION("""COMPUTED_VALUE"""),"Переход на Mobile SMARTS: Магазин 15, МИНИМУМ для интеграции с Microsoft Dynamics AX (Axapta) через REST/OLE/TXT ")</f>
        <v xml:space="preserve">Переход на Mobile SMARTS: Магазин 15, МИНИМУМ для интеграции с Microsoft Dynamics AX (Axapta) через REST/OLE/TXT </v>
      </c>
      <c r="F714" s="5">
        <f ca="1">IFERROR(__xludf.DUMMYFUNCTION("""COMPUTED_VALUE"""),2725)</f>
        <v>2725</v>
      </c>
    </row>
    <row r="715" spans="1:6" ht="44.25" customHeight="1" x14ac:dyDescent="0.2">
      <c r="A715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5" s="4" t="str">
        <f ca="1">IFERROR(__xludf.DUMMYFUNCTION("""COMPUTED_VALUE"""),"БАЗОВЫЙ")</f>
        <v>БАЗОВЫЙ</v>
      </c>
      <c r="C715" s="4" t="str">
        <f ca="1">IFERROR(__xludf.DUMMYFUNCTION("""COMPUTED_VALUE"""),"UP2-RTL15A-MSAX")</f>
        <v>UP2-RTL15A-MSAX</v>
      </c>
      <c r="D715" s="4" t="str">
        <f ca="1">IFERROR(__xludf.DUMMYFUNCTION("""COMPUTED_VALUE"""),"Переход на Mobile SMARTS: Магазин 15, БАЗОВЫЙ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беспровод"&amp;"ной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тов"&amp;"аре,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БАЗОВЫЙ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5" s="4" t="str">
        <f ca="1">IFERROR(__xludf.DUMMYFUNCTION("""COMPUTED_VALUE"""),"Переход на Mobile SMARTS: Магазин 15, БАЗОВЫЙ для интеграции с Microsoft Dynamics AX (Axapta) через REST/OLE/TXT ")</f>
        <v xml:space="preserve">Переход на Mobile SMARTS: Магазин 15, БАЗОВЫЙ для интеграции с Microsoft Dynamics AX (Axapta) через REST/OLE/TXT </v>
      </c>
      <c r="F715" s="5">
        <f ca="1">IFERROR(__xludf.DUMMYFUNCTION("""COMPUTED_VALUE"""),5325)</f>
        <v>5325</v>
      </c>
    </row>
    <row r="716" spans="1:6" ht="44.25" customHeight="1" x14ac:dyDescent="0.2">
      <c r="A716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6" s="4" t="str">
        <f ca="1">IFERROR(__xludf.DUMMYFUNCTION("""COMPUTED_VALUE"""),"РАСШИРЕННЫЙ")</f>
        <v>РАСШИРЕННЫЙ</v>
      </c>
      <c r="C716" s="4" t="str">
        <f ca="1">IFERROR(__xludf.DUMMYFUNCTION("""COMPUTED_VALUE"""),"UP2-RTL15B-MSAX")</f>
        <v>UP2-RTL15B-MSAX</v>
      </c>
      <c r="D716" s="4" t="str">
        <f ca="1">IFERROR(__xludf.DUMMYFUNCTION("""COMPUTED_VALUE"""),"Переход на Mobile SMARTS: Магазин 15, РАСШИРЕННЫЙ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беспр"&amp;"оводной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РАСШИРЕННЫЙ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6" s="4" t="str">
        <f ca="1">IFERROR(__xludf.DUMMYFUNCTION("""COMPUTED_VALUE"""),"Переход на Mobile SMARTS: Магазин 15, РАСШИРЕННЫЙ для интеграции с Microsoft Dynamics AX (Axapta) через REST/OLE/TXT ")</f>
        <v xml:space="preserve">Переход на Mobile SMARTS: Магазин 15, РАСШИРЕННЫЙ для интеграции с Microsoft Dynamics AX (Axapta) через REST/OLE/TXT </v>
      </c>
      <c r="F716" s="5">
        <f ca="1">IFERROR(__xludf.DUMMYFUNCTION("""COMPUTED_VALUE"""),8525)</f>
        <v>8525</v>
      </c>
    </row>
    <row r="717" spans="1:6" ht="44.25" customHeight="1" x14ac:dyDescent="0.2">
      <c r="A717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7" s="4" t="str">
        <f ca="1">IFERROR(__xludf.DUMMYFUNCTION("""COMPUTED_VALUE"""),"МЕГАМАРКЕТ")</f>
        <v>МЕГАМАРКЕТ</v>
      </c>
      <c r="C717" s="4" t="str">
        <f ca="1">IFERROR(__xludf.DUMMYFUNCTION("""COMPUTED_VALUE"""),"UP2-RTL15C-MSAX")</f>
        <v>UP2-RTL15C-MSAX</v>
      </c>
      <c r="D717" s="4" t="str">
        <f ca="1">IFERROR(__xludf.DUMMYFUNCTION("""COMPUTED_VALUE"""),"Переход на Mobile SMARTS: Магазин 15, МЕГАМАРКЕТ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беспро"&amp;"водной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"&amp;"работа,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МЕГАМАРКЕТ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7" s="4" t="str">
        <f ca="1">IFERROR(__xludf.DUMMYFUNCTION("""COMPUTED_VALUE"""),"Переход на Mobile SMARTS: Магазин 15, МЕГАМАРКЕТ для интеграции с Microsoft Dynamics AX (Axapta) через REST/OLE/TXT ")</f>
        <v xml:space="preserve">Переход на Mobile SMARTS: Магазин 15, МЕГАМАРКЕТ для интеграции с Microsoft Dynamics AX (Axapta) через REST/OLE/TXT </v>
      </c>
      <c r="F717" s="5">
        <f ca="1">IFERROR(__xludf.DUMMYFUNCTION("""COMPUTED_VALUE"""),11775)</f>
        <v>11775</v>
      </c>
    </row>
    <row r="718" spans="1:6" ht="44.25" customHeight="1" x14ac:dyDescent="0.2">
      <c r="A718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8" s="4" t="str">
        <f ca="1">IFERROR(__xludf.DUMMYFUNCTION("""COMPUTED_VALUE"""),"с ЕГАИС, БАЗОВЫЙ")</f>
        <v>с ЕГАИС, БАЗОВЫЙ</v>
      </c>
      <c r="C718" s="4" t="str">
        <f ca="1">IFERROR(__xludf.DUMMYFUNCTION("""COMPUTED_VALUE"""),"UP2-RTL15AE-MSAX")</f>
        <v>UP2-RTL15AE-MSAX</v>
      </c>
      <c r="D718" s="4" t="str">
        <f ca="1">IFERROR(__xludf.DUMMYFUNCTION("""COMPUTED_VALUE"""),"Переход на Mobile SMARTS: Магазин 15 с ЕГАИС,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штрих"&amp;"кодам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прос"&amp;"мотр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подп"&amp;"иска на обновления на 1 (один) год")</f>
        <v>Переход на Mobile SMARTS: Магазин 15 с ЕГАИС,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718" s="4" t="str">
        <f ca="1">IFERROR(__xludf.DUMMYFUNCTION("""COMPUTED_VALUE"""),"Переход на Mobile SMARTS: Магазин 15 с ЕГАИС, БАЗОВЫЙ для интеграции с Microsoft Dynamics AX (Axapta) через REST/OLE/TXT ")</f>
        <v xml:space="preserve">Переход на Mobile SMARTS: Магазин 15 с ЕГАИС, БАЗОВЫЙ для интеграции с Microsoft Dynamics AX (Axapta) через REST/OLE/TXT </v>
      </c>
      <c r="F718" s="5">
        <f ca="1">IFERROR(__xludf.DUMMYFUNCTION("""COMPUTED_VALUE"""),6500)</f>
        <v>6500</v>
      </c>
    </row>
    <row r="719" spans="1:6" ht="44.25" customHeight="1" x14ac:dyDescent="0.2">
      <c r="A719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9" s="4" t="str">
        <f ca="1">IFERROR(__xludf.DUMMYFUNCTION("""COMPUTED_VALUE"""),"с ЕГАИС, РАСШИРЕННЫЙ")</f>
        <v>с ЕГАИС, РАСШИРЕННЫЙ</v>
      </c>
      <c r="C719" s="4" t="str">
        <f ca="1">IFERROR(__xludf.DUMMYFUNCTION("""COMPUTED_VALUE"""),"UP2-RTL15BE-MSAX")</f>
        <v>UP2-RTL15BE-MSAX</v>
      </c>
      <c r="D719" s="4" t="str">
        <f ca="1">IFERROR(__xludf.DUMMYFUNCTION("""COMPUTED_VALUE"""),"Переход на Mobile SMARTS: Магазин 15 с ЕГАИС,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ш"&amp;"трихкодам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"&amp;"просмотр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устройс"&amp;"тво, подписка на обновления на 1 (один) год")</f>
        <v>Переход на Mobile SMARTS: Магазин 15 с ЕГАИС,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19" s="4" t="str">
        <f ca="1">IFERROR(__xludf.DUMMYFUNCTION("""COMPUTED_VALUE"""),"Переход на Mobile SMARTS: Магазин 15 с ЕГАИС, РАСШИРЕННЫЙ для интеграции с Microsoft Dynamics AX (Axapta) через REST/OLE/TXT ")</f>
        <v xml:space="preserve">Переход на Mobile SMARTS: Магазин 15 с ЕГАИС, РАСШИРЕННЫЙ для интеграции с Microsoft Dynamics AX (Axapta) через REST/OLE/TXT </v>
      </c>
      <c r="F719" s="5">
        <f ca="1">IFERROR(__xludf.DUMMYFUNCTION("""COMPUTED_VALUE"""),9725)</f>
        <v>9725</v>
      </c>
    </row>
    <row r="720" spans="1:6" ht="44.25" customHeight="1" x14ac:dyDescent="0.2">
      <c r="A720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0" s="4" t="str">
        <f ca="1">IFERROR(__xludf.DUMMYFUNCTION("""COMPUTED_VALUE"""),"с ЕГАИС (без CheckMark2), МЕГАМАРКЕТ")</f>
        <v>с ЕГАИС (без CheckMark2), МЕГАМАРКЕТ</v>
      </c>
      <c r="C720" s="4" t="str">
        <f ca="1">IFERROR(__xludf.DUMMYFUNCTION("""COMPUTED_VALUE"""),"UP2-RTL15CEV-MSAX")</f>
        <v>UP2-RTL15CEV-MSAX</v>
      </c>
      <c r="D720" s="4" t="str">
        <f ca="1">IFERROR(__xludf.DUMMYFUNCTION("""COMPUTED_VALUE"""),"Переход на Mobile SMARTS: Магазин 15 с ЕГАИС (без CheckMark2),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ЕГАИ"&amp;"С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с"&amp;"бор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бессрочн"&amp;"ая лицензия на 1 (одно) моб. устройство, подписка на обновления на 1 (один) год")</f>
        <v>Переход на Mobile SMARTS: Магазин 15 с ЕГАИС (без CheckMark2),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0" s="4" t="str">
        <f ca="1">IFERROR(__xludf.DUMMYFUNCTION("""COMPUTED_VALUE"""),"Переход на Mobile SMARTS: Магазин 15 с ЕГАИС (без CheckMark2), МЕГАМАРКЕТ для интеграции с Microsoft Dynamics AX (Axapta) через REST/OLE/TXT ")</f>
        <v xml:space="preserve">Переход на Mobile SMARTS: Магазин 15 с ЕГАИС (без CheckMark2), МЕГАМАРКЕТ для интеграции с Microsoft Dynamics AX (Axapta) через REST/OLE/TXT </v>
      </c>
      <c r="F720" s="5">
        <f ca="1">IFERROR(__xludf.DUMMYFUNCTION("""COMPUTED_VALUE"""),12925)</f>
        <v>12925</v>
      </c>
    </row>
    <row r="721" spans="1:6" ht="44.25" customHeight="1" x14ac:dyDescent="0.2">
      <c r="A721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1" s="4" t="str">
        <f ca="1">IFERROR(__xludf.DUMMYFUNCTION("""COMPUTED_VALUE"""),"с МОТП, БАЗОВЫЙ")</f>
        <v>с МОТП, БАЗОВЫЙ</v>
      </c>
      <c r="C721" s="4" t="str">
        <f ca="1">IFERROR(__xludf.DUMMYFUNCTION("""COMPUTED_VALUE"""),"UP2-RTL15AT-MSAX")</f>
        <v>UP2-RTL15AT-MSAX</v>
      </c>
      <c r="D721" s="4" t="str">
        <f ca="1">IFERROR(__xludf.DUMMYFUNCTION("""COMPUTED_VALUE"""),"Переход на Mobile SMARTS: Магазин 15 с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н"&amp;"а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ш"&amp;"трихкодов,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по"&amp;"дписка на обновления на 1 (один) год")</f>
        <v>Переход на Mobile SMARTS: Магазин 15 с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1" s="4" t="str">
        <f ca="1">IFERROR(__xludf.DUMMYFUNCTION("""COMPUTED_VALUE"""),"Переход на Mobile SMARTS: Магазин 15 с МОТП, БАЗОВЫЙ для интеграции с Microsoft Dynamics AX (Axapta) через REST/OLE/TXT ")</f>
        <v xml:space="preserve">Переход на Mobile SMARTS: Магазин 15 с МОТП, БАЗОВЫЙ для интеграции с Microsoft Dynamics AX (Axapta) через REST/OLE/TXT </v>
      </c>
      <c r="F721" s="5">
        <f ca="1">IFERROR(__xludf.DUMMYFUNCTION("""COMPUTED_VALUE"""),6575)</f>
        <v>6575</v>
      </c>
    </row>
    <row r="722" spans="1:6" ht="44.25" customHeight="1" x14ac:dyDescent="0.2">
      <c r="A722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2" s="4" t="str">
        <f ca="1">IFERROR(__xludf.DUMMYFUNCTION("""COMPUTED_VALUE"""),"с МОТП, РАСШИРЕННЫЙ")</f>
        <v>с МОТП, РАСШИРЕННЫЙ</v>
      </c>
      <c r="C722" s="4" t="str">
        <f ca="1">IFERROR(__xludf.DUMMYFUNCTION("""COMPUTED_VALUE"""),"UP2-RTL15BT-MSAX")</f>
        <v>UP2-RTL15BT-MSAX</v>
      </c>
      <c r="D722" s="4" t="str">
        <f ca="1">IFERROR(__xludf.DUMMYFUNCTION("""COMPUTED_VALUE"""),"Переход на Mobile SMARTS: Магазин 15 с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штрихкодам"&amp;"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устройство"&amp;", подписка на обновления на 1 (один) год")</f>
        <v>Переход на Mobile SMARTS: Магазин 15 с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2" s="4" t="str">
        <f ca="1">IFERROR(__xludf.DUMMYFUNCTION("""COMPUTED_VALUE"""),"Переход на Mobile SMARTS: Магазин 15 с МОТП, РАСШИРЕННЫЙ для интеграции с Microsoft Dynamics AX (Axapta) через REST/OLE/TXT ")</f>
        <v xml:space="preserve">Переход на Mobile SMARTS: Магазин 15 с МОТП, РАСШИРЕННЫЙ для интеграции с Microsoft Dynamics AX (Axapta) через REST/OLE/TXT </v>
      </c>
      <c r="F722" s="5">
        <f ca="1">IFERROR(__xludf.DUMMYFUNCTION("""COMPUTED_VALUE"""),9725)</f>
        <v>9725</v>
      </c>
    </row>
    <row r="723" spans="1:6" ht="44.25" customHeight="1" x14ac:dyDescent="0.2">
      <c r="A723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3" s="4" t="str">
        <f ca="1">IFERROR(__xludf.DUMMYFUNCTION("""COMPUTED_VALUE"""),"с МОТП, МЕГАМАРКЕТ")</f>
        <v>с МОТП, МЕГАМАРКЕТ</v>
      </c>
      <c r="C723" s="4" t="str">
        <f ca="1">IFERROR(__xludf.DUMMYFUNCTION("""COMPUTED_VALUE"""),"UP2-RTL15CT-MSAX")</f>
        <v>UP2-RTL15CT-MSAX</v>
      </c>
      <c r="D723" s="4" t="str">
        <f ca="1">IFERROR(__xludf.DUMMYFUNCTION("""COMPUTED_VALUE"""),"Переход на Mobile SMARTS: Магазин 15 с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"&amp;"/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(о"&amp;"дно) моб. устройство, подписка на обновления на 1 (один) год")</f>
        <v>Переход на Mobile SMARTS: Магазин 15 с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3" s="4" t="str">
        <f ca="1">IFERROR(__xludf.DUMMYFUNCTION("""COMPUTED_VALUE"""),"Переход на Mobile SMARTS: Магазин 15 с МОТП, МЕГАМАРКЕТ для интеграции с Microsoft Dynamics AX (Axapta) через REST/OLE/TXT ")</f>
        <v xml:space="preserve">Переход на Mobile SMARTS: Магазин 15 с МОТП, МЕГАМАРКЕТ для интеграции с Microsoft Dynamics AX (Axapta) через REST/OLE/TXT </v>
      </c>
      <c r="F723" s="5">
        <f ca="1">IFERROR(__xludf.DUMMYFUNCTION("""COMPUTED_VALUE"""),12925)</f>
        <v>12925</v>
      </c>
    </row>
    <row r="724" spans="1:6" ht="44.25" customHeight="1" x14ac:dyDescent="0.2">
      <c r="A724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4" s="4" t="str">
        <f ca="1">IFERROR(__xludf.DUMMYFUNCTION("""COMPUTED_VALUE"""),"с ЕГАИС и МОТП, БАЗОВЫЙ")</f>
        <v>с ЕГАИС и МОТП, БАЗОВЫЙ</v>
      </c>
      <c r="C724" s="4" t="str">
        <f ca="1">IFERROR(__xludf.DUMMYFUNCTION("""COMPUTED_VALUE"""),"UP2-RTL15AET-MSAX")</f>
        <v>UP2-RTL15AET-MSAX</v>
      </c>
      <c r="D724" s="4" t="str">
        <f ca="1">IFERROR(__xludf.DUMMYFUNCTION("""COMPUTED_VALUE"""),"Переход на Mobile SMARTS: Магазин 15 с ЕГАИС и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ТА"&amp;"БАКОМ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печат"&amp;"ью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с"&amp;"кладах,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4" s="4" t="str">
        <f ca="1">IFERROR(__xludf.DUMMYFUNCTION("""COMPUTED_VALUE"""),"Переход на Mobile SMARTS: Магазин 15 с ЕГАИС и МОТП, БАЗОВЫЙ для интеграции с Microsoft Dynamics AX (Axapta) через REST/OLE/TXT ")</f>
        <v xml:space="preserve">Переход на Mobile SMARTS: Магазин 15 с ЕГАИС и МОТП, БАЗОВЫЙ для интеграции с Microsoft Dynamics AX (Axapta) через REST/OLE/TXT </v>
      </c>
      <c r="F724" s="5">
        <f ca="1">IFERROR(__xludf.DUMMYFUNCTION("""COMPUTED_VALUE"""),7075)</f>
        <v>7075</v>
      </c>
    </row>
    <row r="725" spans="1:6" ht="44.25" customHeight="1" x14ac:dyDescent="0.2">
      <c r="A725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5" s="4" t="str">
        <f ca="1">IFERROR(__xludf.DUMMYFUNCTION("""COMPUTED_VALUE"""),"с ЕГАИС и МОТП, РАСШИРЕННЫЙ")</f>
        <v>с ЕГАИС и МОТП, РАСШИРЕННЫЙ</v>
      </c>
      <c r="C725" s="4" t="str">
        <f ca="1">IFERROR(__xludf.DUMMYFUNCTION("""COMPUTED_VALUE"""),"UP2-RTL15BET-MSAX")</f>
        <v>UP2-RTL15BET-MSAX</v>
      </c>
      <c r="D725" s="4" t="str">
        <f ca="1">IFERROR(__xludf.DUMMYFUNCTION("""COMPUTED_VALUE"""),"Переход на Mobile SMARTS: Магазин 15 с ЕГАИС и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маркированны"&amp;"м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п"&amp;"ечатью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товар"&amp;"е,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5" s="4" t="str">
        <f ca="1">IFERROR(__xludf.DUMMYFUNCTION("""COMPUTED_VALUE"""),"Переход на Mobile SMARTS: Магазин 15 с ЕГАИС и МОТП, РАСШИРЕННЫЙ для интеграции с Microsoft Dynamics AX (Axapta) через REST/OLE/TXT ")</f>
        <v xml:space="preserve">Переход на Mobile SMARTS: Магазин 15 с ЕГАИС и МОТП, РАСШИРЕННЫЙ для интеграции с Microsoft Dynamics AX (Axapta) через REST/OLE/TXT </v>
      </c>
      <c r="F725" s="5">
        <f ca="1">IFERROR(__xludf.DUMMYFUNCTION("""COMPUTED_VALUE"""),10275)</f>
        <v>10275</v>
      </c>
    </row>
    <row r="726" spans="1:6" ht="44.25" customHeight="1" x14ac:dyDescent="0.2">
      <c r="A726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6" s="4" t="str">
        <f ca="1">IFERROR(__xludf.DUMMYFUNCTION("""COMPUTED_VALUE"""),"с ЕГАИС и МОТП, МЕГАМАРКЕТ")</f>
        <v>с ЕГАИС и МОТП, МЕГАМАРКЕТ</v>
      </c>
      <c r="C726" s="4" t="str">
        <f ca="1">IFERROR(__xludf.DUMMYFUNCTION("""COMPUTED_VALUE"""),"UP2-RTL15CET-MSAX")</f>
        <v>UP2-RTL15CET-MSAX</v>
      </c>
      <c r="D726" s="4" t="str">
        <f ca="1">IFERROR(__xludf.DUMMYFUNCTION("""COMPUTED_VALUE"""),"Переход на Mobile SMARTS: Магазин 15 с ЕГАИС и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маркированным"&amp;"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пе"&amp;"чатью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работа"&amp;",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6" s="4" t="str">
        <f ca="1">IFERROR(__xludf.DUMMYFUNCTION("""COMPUTED_VALUE"""),"Переход на Mobile SMARTS: Магазин 15 с ЕГАИС и МОТП, МЕГАМАРКЕТ для интеграции с Microsoft Dynamics AX (Axapta) через REST/OLE/TXT ")</f>
        <v xml:space="preserve">Переход на Mobile SMARTS: Магазин 15 с ЕГАИС и МОТП, МЕГАМАРКЕТ для интеграции с Microsoft Dynamics AX (Axapta) через REST/OLE/TXT </v>
      </c>
      <c r="F726" s="5">
        <f ca="1">IFERROR(__xludf.DUMMYFUNCTION("""COMPUTED_VALUE"""),14175)</f>
        <v>14175</v>
      </c>
    </row>
    <row r="727" spans="1:6" ht="44.25" customHeight="1" x14ac:dyDescent="0.2">
      <c r="A727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7" s="4" t="str">
        <f ca="1">IFERROR(__xludf.DUMMYFUNCTION("""COMPUTED_VALUE"""),"ШМОТКИ, БАЗОВЫЙ")</f>
        <v>ШМОТКИ, БАЗОВЫЙ</v>
      </c>
      <c r="C727" s="4" t="str">
        <f ca="1">IFERROR(__xludf.DUMMYFUNCTION("""COMPUTED_VALUE"""),"UP2-RTL15AK-MSAX")</f>
        <v>UP2-RTL15AK-MSAX</v>
      </c>
      <c r="D727" s="4" t="str">
        <f ca="1">IFERROR(__xludf.DUMMYFUNCTION("""COMPUTED_VALUE"""),"Переход на Mobile SMARTS: Магазин 15 с КИРОВКОЙ,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ШИНА"&amp;"МИ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отгруз"&amp;"ка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на 1 (один) год")</f>
        <v>Переход на Mobile SMARTS: Магазин 15 с КИРОВКОЙ,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7" s="4" t="str">
        <f ca="1">IFERROR(__xludf.DUMMYFUNCTION("""COMPUTED_VALUE"""),"Переход на Mobile SMARTS: Магазин 15 с КИРОВКОЙ, БАЗОВЫЙ для интеграции с Microsoft Dynamics AX (Axapta) через REST/OLE/TXT ")</f>
        <v xml:space="preserve">Переход на Mobile SMARTS: Магазин 15 с КИРОВКОЙ, БАЗОВЫЙ для интеграции с Microsoft Dynamics AX (Axapta) через REST/OLE/TXT </v>
      </c>
      <c r="F727" s="5">
        <f ca="1">IFERROR(__xludf.DUMMYFUNCTION("""COMPUTED_VALUE"""),7075)</f>
        <v>7075</v>
      </c>
    </row>
    <row r="728" spans="1:6" ht="44.25" customHeight="1" x14ac:dyDescent="0.2">
      <c r="A728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8" s="4" t="str">
        <f ca="1">IFERROR(__xludf.DUMMYFUNCTION("""COMPUTED_VALUE"""),"ШМОТКИ, РАСШИРЕННЫЙ")</f>
        <v>ШМОТКИ, РАСШИРЕННЫЙ</v>
      </c>
      <c r="C728" s="4" t="str">
        <f ca="1">IFERROR(__xludf.DUMMYFUNCTION("""COMPUTED_VALUE"""),"UP2-RTL15BK-MSAX")</f>
        <v>UP2-RTL15BK-MSAX</v>
      </c>
      <c r="D728" s="4" t="str">
        <f ca="1">IFERROR(__xludf.DUMMYFUNCTION("""COMPUTED_VALUE"""),"Переход на Mobile SMARTS: Магазин 15 с КИРОВКОЙ,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"&amp;"ШИНАМИ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от"&amp;"грузка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лиценз"&amp;"ия на 1 (одно) моб. устройство, подписка на обновления на 1 (один) год")</f>
        <v>Переход на Mobile SMARTS: Магазин 15 с КИРОВКОЙ,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8" s="4" t="str">
        <f ca="1">IFERROR(__xludf.DUMMYFUNCTION("""COMPUTED_VALUE"""),"Переход на Mobile SMARTS: Магазин 15 с КИРОВКОЙ, РАСШИРЕННЫЙ для интеграции с Microsoft Dynamics AX (Axapta) через REST/OLE/TXT ")</f>
        <v xml:space="preserve">Переход на Mobile SMARTS: Магазин 15 с КИРОВКОЙ, РАСШИРЕННЫЙ для интеграции с Microsoft Dynamics AX (Axapta) через REST/OLE/TXT </v>
      </c>
      <c r="F728" s="5">
        <f ca="1">IFERROR(__xludf.DUMMYFUNCTION("""COMPUTED_VALUE"""),10275)</f>
        <v>10275</v>
      </c>
    </row>
    <row r="729" spans="1:6" ht="44.25" customHeight="1" x14ac:dyDescent="0.2">
      <c r="A729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9" s="4" t="str">
        <f ca="1">IFERROR(__xludf.DUMMYFUNCTION("""COMPUTED_VALUE"""),"ШМОТКИ, МЕГАМАРКЕТ")</f>
        <v>ШМОТКИ, МЕГАМАРКЕТ</v>
      </c>
      <c r="C729" s="4" t="str">
        <f ca="1">IFERROR(__xludf.DUMMYFUNCTION("""COMPUTED_VALUE"""),"UP2-RTL15CK-MSAX")</f>
        <v>UP2-RTL15CK-MSAX</v>
      </c>
      <c r="D729" s="4" t="str">
        <f ca="1">IFERROR(__xludf.DUMMYFUNCTION("""COMPUTED_VALUE"""),"Переход на Mobile SMARTS: Магазин 15 с КИРОВКОЙ,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Ш"&amp;"ИНАМИ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отг"&amp;"рузка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операции"&amp;" / бессрочная лицензия на 1 (одно) моб. устройство, подписка на обновления на 1 (один) год")</f>
        <v>Переход на Mobile SMARTS: Магазин 15 с КИРОВКОЙ,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29" s="4" t="str">
        <f ca="1">IFERROR(__xludf.DUMMYFUNCTION("""COMPUTED_VALUE"""),"Переход на Mobile SMARTS: Магазин 15 с КИРОВКОЙ, МЕГАМАРКЕТ для интеграции с Microsoft Dynamics AX (Axapta) через REST/OLE/TXT ")</f>
        <v xml:space="preserve">Переход на Mobile SMARTS: Магазин 15 с КИРОВКОЙ, МЕГАМАРКЕТ для интеграции с Microsoft Dynamics AX (Axapta) через REST/OLE/TXT </v>
      </c>
      <c r="F729" s="5">
        <f ca="1">IFERROR(__xludf.DUMMYFUNCTION("""COMPUTED_VALUE"""),14175)</f>
        <v>14175</v>
      </c>
    </row>
    <row r="730" spans="1:6" ht="44.25" customHeight="1" x14ac:dyDescent="0.2">
      <c r="A730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0" s="4" t="str">
        <f ca="1">IFERROR(__xludf.DUMMYFUNCTION("""COMPUTED_VALUE"""),"с МДЛП, БАЗОВЫЙ")</f>
        <v>с МДЛП, БАЗОВЫЙ</v>
      </c>
      <c r="C730" s="4" t="str">
        <f ca="1">IFERROR(__xludf.DUMMYFUNCTION("""COMPUTED_VALUE"""),"UP2-RTL15AL-MSAX")</f>
        <v>UP2-RTL15AL-MSAX</v>
      </c>
      <c r="D730" s="4" t="str">
        <f ca="1">IFERROR(__xludf.DUMMYFUNCTION("""COMPUTED_VALUE"""),"Переход на Mobile SMARTS: Магазин 15 с МДЛП,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"&amp;"по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пе"&amp;"ремещение,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мо"&amp;"б. устройство, подписка на обновления на 1 (один) год")</f>
        <v>Переход на Mobile SMARTS: Магазин 15 с МДЛП,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0" s="4" t="str">
        <f ca="1">IFERROR(__xludf.DUMMYFUNCTION("""COMPUTED_VALUE"""),"Переход на Mobile SMARTS: Магазин 15 с МДЛП, БАЗОВЫЙ для интеграции с Microsoft Dynamics AX (Axapta) через REST/OLE/TXT ")</f>
        <v xml:space="preserve">Переход на Mobile SMARTS: Магазин 15 с МДЛП, БАЗОВЫЙ для интеграции с Microsoft Dynamics AX (Axapta) через REST/OLE/TXT </v>
      </c>
      <c r="F730" s="5">
        <f ca="1">IFERROR(__xludf.DUMMYFUNCTION("""COMPUTED_VALUE"""),5229)</f>
        <v>5229</v>
      </c>
    </row>
    <row r="731" spans="1:6" ht="44.25" customHeight="1" x14ac:dyDescent="0.2">
      <c r="A731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1" s="4" t="str">
        <f ca="1">IFERROR(__xludf.DUMMYFUNCTION("""COMPUTED_VALUE"""),"с МДЛП, РАСШИРЕННЫЙ")</f>
        <v>с МДЛП, РАСШИРЕННЫЙ</v>
      </c>
      <c r="C731" s="4" t="str">
        <f ca="1">IFERROR(__xludf.DUMMYFUNCTION("""COMPUTED_VALUE"""),"UP2-RTL15BL-MSAX")</f>
        <v>UP2-RTL15BL-MSAX</v>
      </c>
      <c r="D731" s="4" t="str">
        <f ca="1">IFERROR(__xludf.DUMMYFUNCTION("""COMPUTED_VALUE"""),"Переход на Mobile SMARTS: Магазин 15 с МДЛП,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това"&amp;"ром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КМ)"&amp;",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(одно"&amp;") моб. устройство, подписка на обновления на 1 (один) год")</f>
        <v>Переход на Mobile SMARTS: Магазин 15 с МДЛП,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1" s="4" t="str">
        <f ca="1">IFERROR(__xludf.DUMMYFUNCTION("""COMPUTED_VALUE"""),"Переход на Mobile SMARTS: Магазин 15 с МДЛП, РАСШИРЕННЫЙ для интеграции с Microsoft Dynamics AX (Axapta) через REST/OLE/TXT ")</f>
        <v xml:space="preserve">Переход на Mobile SMARTS: Магазин 15 с МДЛП, РАСШИРЕННЫЙ для интеграции с Microsoft Dynamics AX (Axapta) через REST/OLE/TXT </v>
      </c>
      <c r="F731" s="5">
        <f ca="1">IFERROR(__xludf.DUMMYFUNCTION("""COMPUTED_VALUE"""),7689)</f>
        <v>7689</v>
      </c>
    </row>
    <row r="732" spans="1:6" ht="44.25" customHeight="1" x14ac:dyDescent="0.2">
      <c r="A732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2" s="4" t="str">
        <f ca="1">IFERROR(__xludf.DUMMYFUNCTION("""COMPUTED_VALUE"""),"с МДЛП, МЕГАМАРКЕТ")</f>
        <v>с МДЛП, МЕГАМАРКЕТ</v>
      </c>
      <c r="C732" s="4" t="str">
        <f ca="1">IFERROR(__xludf.DUMMYFUNCTION("""COMPUTED_VALUE"""),"UP2-RTL15CL-MSAX")</f>
        <v>UP2-RTL15CL-MSAX</v>
      </c>
      <c r="D732" s="4" t="str">
        <f ca="1">IFERROR(__xludf.DUMMYFUNCTION("""COMPUTED_VALUE"""),"Переход на Mobile SMARTS: Магазин 15 с МДЛП,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товар"&amp;"ом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КМ),"&amp;"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бессрочная"&amp;" лицензия на 1 (одно) моб. устройство, подписка на обновления на 1 (один) год")</f>
        <v>Переход на Mobile SMARTS: Магазин 15 с МДЛП,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2" s="4" t="str">
        <f ca="1">IFERROR(__xludf.DUMMYFUNCTION("""COMPUTED_VALUE"""),"Переход на Mobile SMARTS: Магазин 15 с МДЛП, МЕГАМАРКЕТ для интеграции с Microsoft Dynamics AX (Axapta) через REST/OLE/TXT ")</f>
        <v xml:space="preserve">Переход на Mobile SMARTS: Магазин 15 с МДЛП, МЕГАМАРКЕТ для интеграции с Microsoft Dynamics AX (Axapta) через REST/OLE/TXT </v>
      </c>
      <c r="F732" s="5">
        <f ca="1">IFERROR(__xludf.DUMMYFUNCTION("""COMPUTED_VALUE"""),11349)</f>
        <v>11349</v>
      </c>
    </row>
    <row r="733" spans="1:6" ht="44.25" customHeight="1" x14ac:dyDescent="0.2">
      <c r="A733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3" s="4" t="str">
        <f ca="1">IFERROR(__xludf.DUMMYFUNCTION("""COMPUTED_VALUE"""),"ПРОДУКТОВЫЙ, БАЗОВЫЙ")</f>
        <v>ПРОДУКТОВЫЙ, БАЗОВЫЙ</v>
      </c>
      <c r="C733" s="4" t="str">
        <f ca="1">IFERROR(__xludf.DUMMYFUNCTION("""COMPUTED_VALUE"""),"UP2-RTL15AG-MSAX")</f>
        <v>UP2-RTL15AG-MSAX</v>
      </c>
      <c r="D733" s="4" t="str">
        <f ca="1">IFERROR(__xludf.DUMMYFUNCTION("""COMPUTED_VALUE"""),"Переход на Mobile SMARTS: Магазин 15 ПРОДУКТОВЫЙ,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ТАБАК"&amp;",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инве"&amp;"нтаризация,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настройки"&amp;"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33" s="4" t="str">
        <f ca="1">IFERROR(__xludf.DUMMYFUNCTION("""COMPUTED_VALUE"""),"Переход на Mobile SMARTS: Магазин 15 ПРОДУКТОВЫЙ, БАЗОВЫЙ для интеграции с Microsoft Dynamics AX (Axapta) через REST/OLE/TXT ")</f>
        <v xml:space="preserve">Переход на Mobile SMARTS: Магазин 15 ПРОДУКТОВЫЙ, БАЗОВЫЙ для интеграции с Microsoft Dynamics AX (Axapta) через REST/OLE/TXT </v>
      </c>
      <c r="F733" s="5">
        <f ca="1">IFERROR(__xludf.DUMMYFUNCTION("""COMPUTED_VALUE"""),6579)</f>
        <v>6579</v>
      </c>
    </row>
    <row r="734" spans="1:6" ht="44.25" customHeight="1" x14ac:dyDescent="0.2">
      <c r="A734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4" s="4" t="str">
        <f ca="1">IFERROR(__xludf.DUMMYFUNCTION("""COMPUTED_VALUE"""),"ПРОДУКТОВЫЙ, РАСШИРЕННЫЙ")</f>
        <v>ПРОДУКТОВЫЙ, РАСШИРЕННЫЙ</v>
      </c>
      <c r="C734" s="4" t="str">
        <f ca="1">IFERROR(__xludf.DUMMYFUNCTION("""COMPUTED_VALUE"""),"UP2-RTL15BG-MSAX")</f>
        <v>UP2-RTL15BG-MSAX</v>
      </c>
      <c r="D734" s="4" t="str">
        <f ca="1">IFERROR(__xludf.DUMMYFUNCTION("""COMPUTED_VALUE"""),"Переход на Mobile SMARTS: Магазин 15 ПРОДУКТОВЫЙ,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Т"&amp;"АБАК,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"&amp;"инвентаризация,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настр"&amp;"ойки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34" s="4" t="str">
        <f ca="1">IFERROR(__xludf.DUMMYFUNCTION("""COMPUTED_VALUE"""),"Переход на Mobile SMARTS: Магазин 15 ПРОДУКТОВЫЙ, РАСШИРЕННЫЙ для интеграции с Microsoft Dynamics AX (Axapta) через REST/OLE/TXT ")</f>
        <v xml:space="preserve">Переход на Mobile SMARTS: Магазин 15 ПРОДУКТОВЫЙ, РАСШИРЕННЫЙ для интеграции с Microsoft Dynamics AX (Axapta) через REST/OLE/TXT </v>
      </c>
      <c r="F734" s="5">
        <f ca="1">IFERROR(__xludf.DUMMYFUNCTION("""COMPUTED_VALUE"""),9039)</f>
        <v>9039</v>
      </c>
    </row>
    <row r="735" spans="1:6" ht="44.25" customHeight="1" x14ac:dyDescent="0.2">
      <c r="A735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5" s="4" t="str">
        <f ca="1">IFERROR(__xludf.DUMMYFUNCTION("""COMPUTED_VALUE"""),"ПРОДУКТОВЫЙ, МЕГАМАРКЕТ")</f>
        <v>ПРОДУКТОВЫЙ, МЕГАМАРКЕТ</v>
      </c>
      <c r="C735" s="4" t="str">
        <f ca="1">IFERROR(__xludf.DUMMYFUNCTION("""COMPUTED_VALUE"""),"UP2-RTL15CG-MSAX")</f>
        <v>UP2-RTL15CG-MSAX</v>
      </c>
      <c r="D735" s="4" t="str">
        <f ca="1">IFERROR(__xludf.DUMMYFUNCTION("""COMPUTED_VALUE"""),"Переход на Mobile SMARTS: Магазин 15 ПРОДУКТОВЫЙ,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ТА"&amp;"БАК,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и"&amp;"нвентаризация,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настро"&amp;"йки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35" s="4" t="str">
        <f ca="1">IFERROR(__xludf.DUMMYFUNCTION("""COMPUTED_VALUE"""),"Переход на Mobile SMARTS: Магазин 15 ПРОДУКТОВЫЙ, МЕГАМАРКЕТ для интеграции с Microsoft Dynamics AX (Axapta) через REST/OLE/TXT ")</f>
        <v xml:space="preserve">Переход на Mobile SMARTS: Магазин 15 ПРОДУКТОВЫЙ, МЕГАМАРКЕТ для интеграции с Microsoft Dynamics AX (Axapta) через REST/OLE/TXT </v>
      </c>
      <c r="F735" s="5">
        <f ca="1">IFERROR(__xludf.DUMMYFUNCTION("""COMPUTED_VALUE"""),15084.5)</f>
        <v>15084.5</v>
      </c>
    </row>
    <row r="736" spans="1:6" ht="44.25" customHeight="1" x14ac:dyDescent="0.2">
      <c r="A736" s="4" t="str">
        <f ca="1">IFERROR(__xludf.DUMMYFUNCTION("""COMPUTED_VALUE"""),"баз данных на Microsoft SQL Server")</f>
        <v>баз данных на Microsoft SQL Server</v>
      </c>
      <c r="B736" s="4" t="str">
        <f ca="1">IFERROR(__xludf.DUMMYFUNCTION("""COMPUTED_VALUE"""),"МИНИМУМ")</f>
        <v>МИНИМУМ</v>
      </c>
      <c r="C736" s="4" t="str">
        <f ca="1">IFERROR(__xludf.DUMMYFUNCTION("""COMPUTED_VALUE"""),"UP2-RTL15M-MSSQL")</f>
        <v>UP2-RTL15M-MSSQL</v>
      </c>
      <c r="D736" s="4" t="str">
        <f ca="1">IFERROR(__xludf.DUMMYFUNCTION("""COMPUTED_VALUE"""),"Переход на Mobile SMARTS: Магазин 15, МИНИМУМ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до"&amp;"ступные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подписк"&amp;"а на обновления на 1 (один) год")</f>
        <v>Переход на Mobile SMARTS: Магазин 15, МИНИМУМ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на 1 (один) год</v>
      </c>
      <c r="E736" s="4" t="str">
        <f ca="1">IFERROR(__xludf.DUMMYFUNCTION("""COMPUTED_VALUE"""),"Переход на Mobile SMARTS: Магазин 15, МИНИМУМ для баз данных на Microsoft SQL Server ")</f>
        <v xml:space="preserve">Переход на Mobile SMARTS: Магазин 15, МИНИМУМ для баз данных на Microsoft SQL Server </v>
      </c>
      <c r="F736" s="5">
        <f ca="1">IFERROR(__xludf.DUMMYFUNCTION("""COMPUTED_VALUE"""),2725)</f>
        <v>2725</v>
      </c>
    </row>
    <row r="737" spans="1:6" ht="44.25" customHeight="1" x14ac:dyDescent="0.2">
      <c r="A737" s="4" t="str">
        <f ca="1">IFERROR(__xludf.DUMMYFUNCTION("""COMPUTED_VALUE"""),"баз данных на Microsoft SQL Server")</f>
        <v>баз данных на Microsoft SQL Server</v>
      </c>
      <c r="B737" s="4" t="str">
        <f ca="1">IFERROR(__xludf.DUMMYFUNCTION("""COMPUTED_VALUE"""),"БАЗОВЫЙ")</f>
        <v>БАЗОВЫЙ</v>
      </c>
      <c r="C737" s="4" t="str">
        <f ca="1">IFERROR(__xludf.DUMMYFUNCTION("""COMPUTED_VALUE"""),"UP2-RTL15A-MSSQL")</f>
        <v>UP2-RTL15A-MSSQL</v>
      </c>
      <c r="D737" s="4" t="str">
        <f ca="1">IFERROR(__xludf.DUMMYFUNCTION("""COMPUTED_VALUE"""),"Переход на Mobile SMARTS: Магазин 15, БАЗОВЫЙ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до"&amp;"ступные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БАЗОВЫЙ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7" s="4" t="str">
        <f ca="1">IFERROR(__xludf.DUMMYFUNCTION("""COMPUTED_VALUE"""),"Переход на Mobile SMARTS: Магазин 15, БАЗОВЫЙ для баз данных на Microsoft SQL Server ")</f>
        <v xml:space="preserve">Переход на Mobile SMARTS: Магазин 15, БАЗОВЫЙ для баз данных на Microsoft SQL Server </v>
      </c>
      <c r="F737" s="5">
        <f ca="1">IFERROR(__xludf.DUMMYFUNCTION("""COMPUTED_VALUE"""),5325)</f>
        <v>5325</v>
      </c>
    </row>
    <row r="738" spans="1:6" ht="44.25" customHeight="1" x14ac:dyDescent="0.2">
      <c r="A738" s="4" t="str">
        <f ca="1">IFERROR(__xludf.DUMMYFUNCTION("""COMPUTED_VALUE"""),"баз данных на Microsoft SQL Server")</f>
        <v>баз данных на Microsoft SQL Server</v>
      </c>
      <c r="B738" s="4" t="str">
        <f ca="1">IFERROR(__xludf.DUMMYFUNCTION("""COMPUTED_VALUE"""),"РАСШИРЕННЫЙ")</f>
        <v>РАСШИРЕННЫЙ</v>
      </c>
      <c r="C738" s="4" t="str">
        <f ca="1">IFERROR(__xludf.DUMMYFUNCTION("""COMPUTED_VALUE"""),"UP2-RTL15B-MSSQL")</f>
        <v>UP2-RTL15B-MSSQL</v>
      </c>
      <c r="D738" s="4" t="str">
        <f ca="1">IFERROR(__xludf.DUMMYFUNCTION("""COMPUTED_VALUE"""),"Переход на Mobile SMARTS: Магазин 15, РАСШИРЕННЫЙ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"&amp;"/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контрагент"&amp;"ах,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РАСШИРЕННЫЙ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8" s="4" t="str">
        <f ca="1">IFERROR(__xludf.DUMMYFUNCTION("""COMPUTED_VALUE"""),"Переход на Mobile SMARTS: Магазин 15, РАСШИРЕННЫЙ для баз данных на Microsoft SQL Server ")</f>
        <v xml:space="preserve">Переход на Mobile SMARTS: Магазин 15, РАСШИРЕННЫЙ для баз данных на Microsoft SQL Server </v>
      </c>
      <c r="F738" s="5">
        <f ca="1">IFERROR(__xludf.DUMMYFUNCTION("""COMPUTED_VALUE"""),8525)</f>
        <v>8525</v>
      </c>
    </row>
    <row r="739" spans="1:6" ht="44.25" customHeight="1" x14ac:dyDescent="0.2">
      <c r="A739" s="4" t="str">
        <f ca="1">IFERROR(__xludf.DUMMYFUNCTION("""COMPUTED_VALUE"""),"баз данных на Microsoft SQL Server")</f>
        <v>баз данных на Microsoft SQL Server</v>
      </c>
      <c r="B739" s="4" t="str">
        <f ca="1">IFERROR(__xludf.DUMMYFUNCTION("""COMPUTED_VALUE"""),"МЕГАМАРКЕТ")</f>
        <v>МЕГАМАРКЕТ</v>
      </c>
      <c r="C739" s="4" t="str">
        <f ca="1">IFERROR(__xludf.DUMMYFUNCTION("""COMPUTED_VALUE"""),"UP2-RTL15C-MSSQL")</f>
        <v>UP2-RTL15C-MSSQL</v>
      </c>
      <c r="D739" s="4" t="str">
        <f ca="1">IFERROR(__xludf.DUMMYFUNCTION("""COMPUTED_VALUE"""),"Переход на Mobile SMARTS: Магазин 15, МЕГАМАРКЕТ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/"&amp;"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товаре,"&amp;"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15, МЕГАМАРКЕТ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39" s="4" t="str">
        <f ca="1">IFERROR(__xludf.DUMMYFUNCTION("""COMPUTED_VALUE"""),"Переход на Mobile SMARTS: Магазин 15, МЕГАМАРКЕТ для баз данных на Microsoft SQL Server ")</f>
        <v xml:space="preserve">Переход на Mobile SMARTS: Магазин 15, МЕГАМАРКЕТ для баз данных на Microsoft SQL Server </v>
      </c>
      <c r="F739" s="5">
        <f ca="1">IFERROR(__xludf.DUMMYFUNCTION("""COMPUTED_VALUE"""),11775)</f>
        <v>11775</v>
      </c>
    </row>
    <row r="740" spans="1:6" ht="44.25" customHeight="1" x14ac:dyDescent="0.2">
      <c r="A740" s="4" t="str">
        <f ca="1">IFERROR(__xludf.DUMMYFUNCTION("""COMPUTED_VALUE"""),"баз данных на Microsoft SQL Server")</f>
        <v>баз данных на Microsoft SQL Server</v>
      </c>
      <c r="B740" s="4" t="str">
        <f ca="1">IFERROR(__xludf.DUMMYFUNCTION("""COMPUTED_VALUE"""),"с ЕГАИС, БАЗОВЫЙ")</f>
        <v>с ЕГАИС, БАЗОВЫЙ</v>
      </c>
      <c r="C740" s="4" t="str">
        <f ca="1">IFERROR(__xludf.DUMMYFUNCTION("""COMPUTED_VALUE"""),"UP2-RTL15AE-MSSQL")</f>
        <v>UP2-RTL15AE-MSSQL</v>
      </c>
      <c r="D740" s="4" t="str">
        <f ca="1">IFERROR(__xludf.DUMMYFUNCTION("""COMPUTED_VALUE"""),"Переход на Mobile SMARTS: Магазин 15 с ЕГАИС, БАЗОВЫЙ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и"&amp;"ли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возможно"&amp;"сти: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(оди"&amp;"н) год")</f>
        <v>Переход на Mobile SMARTS: Магазин 15 с ЕГАИС, БАЗОВЫЙ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на 1 (один) год</v>
      </c>
      <c r="E740" s="4" t="str">
        <f ca="1">IFERROR(__xludf.DUMMYFUNCTION("""COMPUTED_VALUE"""),"Переход на Mobile SMARTS: Магазин 15 с ЕГАИС, БАЗОВЫЙ для баз данных на Microsoft SQL Server ")</f>
        <v xml:space="preserve">Переход на Mobile SMARTS: Магазин 15 с ЕГАИС, БАЗОВЫЙ для баз данных на Microsoft SQL Server </v>
      </c>
      <c r="F740" s="5">
        <f ca="1">IFERROR(__xludf.DUMMYFUNCTION("""COMPUTED_VALUE"""),6500)</f>
        <v>6500</v>
      </c>
    </row>
    <row r="741" spans="1:6" ht="44.25" customHeight="1" x14ac:dyDescent="0.2">
      <c r="A741" s="4" t="str">
        <f ca="1">IFERROR(__xludf.DUMMYFUNCTION("""COMPUTED_VALUE"""),"баз данных на Microsoft SQL Server")</f>
        <v>баз данных на Microsoft SQL Server</v>
      </c>
      <c r="B741" s="4" t="str">
        <f ca="1">IFERROR(__xludf.DUMMYFUNCTION("""COMPUTED_VALUE"""),"с ЕГАИС, РАСШИРЕННЫЙ")</f>
        <v>с ЕГАИС, РАСШИРЕННЫЙ</v>
      </c>
      <c r="C741" s="4" t="str">
        <f ca="1">IFERROR(__xludf.DUMMYFUNCTION("""COMPUTED_VALUE"""),"UP2-RTL15BE-MSSQL")</f>
        <v>UP2-RTL15BE-MSSQL</v>
      </c>
      <c r="D741" s="4" t="str">
        <f ca="1">IFERROR(__xludf.DUMMYFUNCTION("""COMPUTED_VALUE"""),"Переход на Mobile SMARTS: Магазин 15 с ЕГАИС,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проводн"&amp;"ой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возм"&amp;"ожности: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"&amp;"на 1 (один) год")</f>
        <v>Переход на Mobile SMARTS: Магазин 15 с ЕГАИС,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1" s="4" t="str">
        <f ca="1">IFERROR(__xludf.DUMMYFUNCTION("""COMPUTED_VALUE"""),"Переход на Mobile SMARTS: Магазин 15 с ЕГАИС, РАСШИРЕННЫЙ для баз данных на Microsoft SQL Server ")</f>
        <v xml:space="preserve">Переход на Mobile SMARTS: Магазин 15 с ЕГАИС, РАСШИРЕННЫЙ для баз данных на Microsoft SQL Server </v>
      </c>
      <c r="F741" s="5">
        <f ca="1">IFERROR(__xludf.DUMMYFUNCTION("""COMPUTED_VALUE"""),9725)</f>
        <v>9725</v>
      </c>
    </row>
    <row r="742" spans="1:6" ht="44.25" customHeight="1" x14ac:dyDescent="0.2">
      <c r="A742" s="4" t="str">
        <f ca="1">IFERROR(__xludf.DUMMYFUNCTION("""COMPUTED_VALUE"""),"баз данных на Microsoft SQL Server")</f>
        <v>баз данных на Microsoft SQL Server</v>
      </c>
      <c r="B742" s="4" t="str">
        <f ca="1">IFERROR(__xludf.DUMMYFUNCTION("""COMPUTED_VALUE"""),"с ЕГАИС (без CheckMark2), МЕГАМАРКЕТ")</f>
        <v>с ЕГАИС (без CheckMark2), МЕГАМАРКЕТ</v>
      </c>
      <c r="C742" s="4" t="str">
        <f ca="1">IFERROR(__xludf.DUMMYFUNCTION("""COMPUTED_VALUE"""),"UP2-RTL15CEV-MSSQL")</f>
        <v>UP2-RTL15CEV-MSSQL</v>
      </c>
      <c r="D742" s="4" t="str">
        <f ca="1">IFERROR(__xludf.DUMMYFUNCTION("""COMPUTED_VALUE"""),"Переход на Mobile SMARTS: Магазин 15 с ЕГАИС (без CheckMark2), МЕГАМАРКЕТ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"&amp;"на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спр"&amp;"авочников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моб."&amp;" устройство, подписка на обновления на 1 (один) год")</f>
        <v>Переход на Mobile SMARTS: Магазин 15 с ЕГАИС (без CheckMark2), МЕГАМАРКЕТ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2" s="4" t="str">
        <f ca="1">IFERROR(__xludf.DUMMYFUNCTION("""COMPUTED_VALUE"""),"Переход на Mobile SMARTS: Магазин 15 с ЕГАИС (без CheckMark2), МЕГАМАРКЕТ для баз данных на Microsoft SQL Server ")</f>
        <v xml:space="preserve">Переход на Mobile SMARTS: Магазин 15 с ЕГАИС (без CheckMark2), МЕГАМАРКЕТ для баз данных на Microsoft SQL Server </v>
      </c>
      <c r="F742" s="5">
        <f ca="1">IFERROR(__xludf.DUMMYFUNCTION("""COMPUTED_VALUE"""),12925)</f>
        <v>12925</v>
      </c>
    </row>
    <row r="743" spans="1:6" ht="44.25" customHeight="1" x14ac:dyDescent="0.2">
      <c r="A743" s="4" t="str">
        <f ca="1">IFERROR(__xludf.DUMMYFUNCTION("""COMPUTED_VALUE"""),"баз данных на Microsoft SQL Server")</f>
        <v>баз данных на Microsoft SQL Server</v>
      </c>
      <c r="B743" s="4" t="str">
        <f ca="1">IFERROR(__xludf.DUMMYFUNCTION("""COMPUTED_VALUE"""),"с МОТП, БАЗОВЫЙ")</f>
        <v>с МОТП, БАЗОВЫЙ</v>
      </c>
      <c r="C743" s="4" t="str">
        <f ca="1">IFERROR(__xludf.DUMMYFUNCTION("""COMPUTED_VALUE"""),"UP2-RTL15AT-MSSQL")</f>
        <v>UP2-RTL15AT-MSSQL</v>
      </c>
      <c r="D743" s="4" t="str">
        <f ca="1">IFERROR(__xludf.DUMMYFUNCTION("""COMPUTED_VALUE"""),"Переход на Mobile SMARTS: Магазин 15 с МОТП, БАЗОВЫЙ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беспро"&amp;"водной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справочн"&amp;"иков,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(о"&amp;"дин) год")</f>
        <v>Переход на Mobile SMARTS: Магазин 15 с МОТП, БАЗОВЫЙ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3" s="4" t="str">
        <f ca="1">IFERROR(__xludf.DUMMYFUNCTION("""COMPUTED_VALUE"""),"Переход на Mobile SMARTS: Магазин 15 с МОТП, БАЗОВЫЙ для баз данных на Microsoft SQL Server ")</f>
        <v xml:space="preserve">Переход на Mobile SMARTS: Магазин 15 с МОТП, БАЗОВЫЙ для баз данных на Microsoft SQL Server </v>
      </c>
      <c r="F743" s="5">
        <f ca="1">IFERROR(__xludf.DUMMYFUNCTION("""COMPUTED_VALUE"""),6575)</f>
        <v>6575</v>
      </c>
    </row>
    <row r="744" spans="1:6" ht="44.25" customHeight="1" x14ac:dyDescent="0.2">
      <c r="A744" s="4" t="str">
        <f ca="1">IFERROR(__xludf.DUMMYFUNCTION("""COMPUTED_VALUE"""),"баз данных на Microsoft SQL Server")</f>
        <v>баз данных на Microsoft SQL Server</v>
      </c>
      <c r="B744" s="4" t="str">
        <f ca="1">IFERROR(__xludf.DUMMYFUNCTION("""COMPUTED_VALUE"""),"с МОТП, РАСШИРЕННЫЙ")</f>
        <v>с МОТП, РАСШИРЕННЫЙ</v>
      </c>
      <c r="C744" s="4" t="str">
        <f ca="1">IFERROR(__xludf.DUMMYFUNCTION("""COMPUTED_VALUE"""),"UP2-RTL15BT-MSSQL")</f>
        <v>UP2-RTL15BT-MSSQL</v>
      </c>
      <c r="D744" s="4" t="str">
        <f ca="1">IFERROR(__xludf.DUMMYFUNCTION("""COMPUTED_VALUE"""),"Переход на Mobile SMARTS: Магазин 15 с МОТП, РАСШИРЕННЫЙ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бе"&amp;"спроводной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спра"&amp;"вочников,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"&amp;"1 (один) год")</f>
        <v>Переход на Mobile SMARTS: Магазин 15 с МОТП, РАСШИРЕННЫЙ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4" s="4" t="str">
        <f ca="1">IFERROR(__xludf.DUMMYFUNCTION("""COMPUTED_VALUE"""),"Переход на Mobile SMARTS: Магазин 15 с МОТП, РАСШИРЕННЫЙ для баз данных на Microsoft SQL Server ")</f>
        <v xml:space="preserve">Переход на Mobile SMARTS: Магазин 15 с МОТП, РАСШИРЕННЫЙ для баз данных на Microsoft SQL Server </v>
      </c>
      <c r="F744" s="5">
        <f ca="1">IFERROR(__xludf.DUMMYFUNCTION("""COMPUTED_VALUE"""),9725)</f>
        <v>9725</v>
      </c>
    </row>
    <row r="745" spans="1:6" ht="44.25" customHeight="1" x14ac:dyDescent="0.2">
      <c r="A745" s="4" t="str">
        <f ca="1">IFERROR(__xludf.DUMMYFUNCTION("""COMPUTED_VALUE"""),"баз данных на Microsoft SQL Server")</f>
        <v>баз данных на Microsoft SQL Server</v>
      </c>
      <c r="B745" s="4" t="str">
        <f ca="1">IFERROR(__xludf.DUMMYFUNCTION("""COMPUTED_VALUE"""),"с МОТП, МЕГАМАРКЕТ")</f>
        <v>с МОТП, МЕГАМАРКЕТ</v>
      </c>
      <c r="C745" s="4" t="str">
        <f ca="1">IFERROR(__xludf.DUMMYFUNCTION("""COMPUTED_VALUE"""),"UP2-RTL15CT-MSSQL")</f>
        <v>UP2-RTL15CT-MSSQL</v>
      </c>
      <c r="D745" s="4" t="str">
        <f ca="1">IFERROR(__xludf.DUMMYFUNCTION("""COMPUTED_VALUE"""),"Переход на Mobile SMARTS: Магазин 15 с МОТП, МЕГАМАРКЕТ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бес"&amp;"проводной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справ"&amp;"очников,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подпис"&amp;"ка на обновления на 1 (один) год")</f>
        <v>Переход на Mobile SMARTS: Магазин 15 с МОТП, МЕГАМАРКЕТ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5" s="4" t="str">
        <f ca="1">IFERROR(__xludf.DUMMYFUNCTION("""COMPUTED_VALUE"""),"Переход на Mobile SMARTS: Магазин 15 с МОТП, МЕГАМАРКЕТ для баз данных на Microsoft SQL Server ")</f>
        <v xml:space="preserve">Переход на Mobile SMARTS: Магазин 15 с МОТП, МЕГАМАРКЕТ для баз данных на Microsoft SQL Server </v>
      </c>
      <c r="F745" s="5">
        <f ca="1">IFERROR(__xludf.DUMMYFUNCTION("""COMPUTED_VALUE"""),12925)</f>
        <v>12925</v>
      </c>
    </row>
    <row r="746" spans="1:6" ht="44.25" customHeight="1" x14ac:dyDescent="0.2">
      <c r="A746" s="4" t="str">
        <f ca="1">IFERROR(__xludf.DUMMYFUNCTION("""COMPUTED_VALUE"""),"баз данных на Microsoft SQL Server")</f>
        <v>баз данных на Microsoft SQL Server</v>
      </c>
      <c r="B746" s="4" t="str">
        <f ca="1">IFERROR(__xludf.DUMMYFUNCTION("""COMPUTED_VALUE"""),"с ЕГАИС и МОТП, БАЗОВЫЙ")</f>
        <v>с ЕГАИС и МОТП, БАЗОВЫЙ</v>
      </c>
      <c r="C746" s="4" t="str">
        <f ca="1">IFERROR(__xludf.DUMMYFUNCTION("""COMPUTED_VALUE"""),"UP2-RTL15AET-MSSQL")</f>
        <v>UP2-RTL15AET-MSSQL</v>
      </c>
      <c r="D746" s="4" t="str">
        <f ca="1">IFERROR(__xludf.DUMMYFUNCTION("""COMPUTED_VALUE"""),"Переход на Mobile SMARTS: Магазин 15 с ЕГАИС и МОТП, БАЗОВЫЙ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штрихкода"&amp;"м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сп"&amp;"исание,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БАЗОВЫЙ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6" s="4" t="str">
        <f ca="1">IFERROR(__xludf.DUMMYFUNCTION("""COMPUTED_VALUE"""),"Переход на Mobile SMARTS: Магазин 15 с ЕГАИС и МОТП, БАЗОВЫЙ для баз данных на Microsoft SQL Server ")</f>
        <v xml:space="preserve">Переход на Mobile SMARTS: Магазин 15 с ЕГАИС и МОТП, БАЗОВЫЙ для баз данных на Microsoft SQL Server </v>
      </c>
      <c r="F746" s="5">
        <f ca="1">IFERROR(__xludf.DUMMYFUNCTION("""COMPUTED_VALUE"""),7075)</f>
        <v>7075</v>
      </c>
    </row>
    <row r="747" spans="1:6" ht="44.25" customHeight="1" x14ac:dyDescent="0.2">
      <c r="A747" s="4" t="str">
        <f ca="1">IFERROR(__xludf.DUMMYFUNCTION("""COMPUTED_VALUE"""),"баз данных на Microsoft SQL Server")</f>
        <v>баз данных на Microsoft SQL Server</v>
      </c>
      <c r="B747" s="4" t="str">
        <f ca="1">IFERROR(__xludf.DUMMYFUNCTION("""COMPUTED_VALUE"""),"с ЕГАИС и МОТП, РАСШИРЕННЫЙ")</f>
        <v>с ЕГАИС и МОТП, РАСШИРЕННЫЙ</v>
      </c>
      <c r="C747" s="4" t="str">
        <f ca="1">IFERROR(__xludf.DUMMYFUNCTION("""COMPUTED_VALUE"""),"UP2-RTL15BET-MSSQL")</f>
        <v>UP2-RTL15BET-MSSQL</v>
      </c>
      <c r="D747" s="4" t="str">
        <f ca="1">IFERROR(__xludf.DUMMYFUNCTION("""COMPUTED_VALUE"""),"Переход на Mobile SMARTS: Магазин 15 с ЕГАИС и МОТП,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штрих"&amp;"кодам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принтер)"&amp;",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7" s="4" t="str">
        <f ca="1">IFERROR(__xludf.DUMMYFUNCTION("""COMPUTED_VALUE"""),"Переход на Mobile SMARTS: Магазин 15 с ЕГАИС и МОТП, РАСШИРЕННЫЙ для баз данных на Microsoft SQL Server ")</f>
        <v xml:space="preserve">Переход на Mobile SMARTS: Магазин 15 с ЕГАИС и МОТП, РАСШИРЕННЫЙ для баз данных на Microsoft SQL Server </v>
      </c>
      <c r="F747" s="5">
        <f ca="1">IFERROR(__xludf.DUMMYFUNCTION("""COMPUTED_VALUE"""),10275)</f>
        <v>10275</v>
      </c>
    </row>
    <row r="748" spans="1:6" ht="44.25" customHeight="1" x14ac:dyDescent="0.2">
      <c r="A748" s="4" t="str">
        <f ca="1">IFERROR(__xludf.DUMMYFUNCTION("""COMPUTED_VALUE"""),"баз данных на Microsoft SQL Server")</f>
        <v>баз данных на Microsoft SQL Server</v>
      </c>
      <c r="B748" s="4" t="str">
        <f ca="1">IFERROR(__xludf.DUMMYFUNCTION("""COMPUTED_VALUE"""),"с ЕГАИС и МОТП, МЕГАМАРКЕТ")</f>
        <v>с ЕГАИС и МОТП, МЕГАМАРКЕТ</v>
      </c>
      <c r="C748" s="4" t="str">
        <f ca="1">IFERROR(__xludf.DUMMYFUNCTION("""COMPUTED_VALUE"""),"UP2-RTL15CET-MSSQL")</f>
        <v>UP2-RTL15CET-MSSQL</v>
      </c>
      <c r="D748" s="4" t="str">
        <f ca="1">IFERROR(__xludf.DUMMYFUNCTION("""COMPUTED_VALUE"""),"Переход на Mobile SMARTS: Магазин 15 с ЕГАИС и МОТП, МЕГАМАРКЕТ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штрихк"&amp;"одам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принтер),"&amp;"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год")</f>
        <v>Переход на Mobile SMARTS: Магазин 15 с ЕГАИС и МОТП, МЕГАМАРКЕТ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8" s="4" t="str">
        <f ca="1">IFERROR(__xludf.DUMMYFUNCTION("""COMPUTED_VALUE"""),"Переход на Mobile SMARTS: Магазин 15 с ЕГАИС и МОТП, МЕГАМАРКЕТ для баз данных на Microsoft SQL Server ")</f>
        <v xml:space="preserve">Переход на Mobile SMARTS: Магазин 15 с ЕГАИС и МОТП, МЕГАМАРКЕТ для баз данных на Microsoft SQL Server </v>
      </c>
      <c r="F748" s="5">
        <f ca="1">IFERROR(__xludf.DUMMYFUNCTION("""COMPUTED_VALUE"""),14175)</f>
        <v>14175</v>
      </c>
    </row>
    <row r="749" spans="1:6" ht="44.25" customHeight="1" x14ac:dyDescent="0.2">
      <c r="A749" s="4" t="str">
        <f ca="1">IFERROR(__xludf.DUMMYFUNCTION("""COMPUTED_VALUE"""),"баз данных на Microsoft SQL Server")</f>
        <v>баз данных на Microsoft SQL Server</v>
      </c>
      <c r="B749" s="4" t="str">
        <f ca="1">IFERROR(__xludf.DUMMYFUNCTION("""COMPUTED_VALUE"""),"ШМОТКИ, БАЗОВЫЙ")</f>
        <v>ШМОТКИ, БАЗОВЫЙ</v>
      </c>
      <c r="C749" s="4" t="str">
        <f ca="1">IFERROR(__xludf.DUMMYFUNCTION("""COMPUTED_VALUE"""),"UP2-RTL15AK-MSSQL")</f>
        <v>UP2-RTL15AK-MSSQL</v>
      </c>
      <c r="D749" s="4" t="str">
        <f ca="1">IFERROR(__xludf.DUMMYFUNCTION("""COMPUTED_VALUE"""),"Переход на Mobile SMARTS: Магазин 15 с КИРОВКОЙ, БАЗОВЫЙ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/"&amp;"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"&amp;"подписка на обновления на 1 (один) год")</f>
        <v>Переход на Mobile SMARTS: Магазин 15 с КИРОВКОЙ, БАЗОВЫЙ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49" s="4" t="str">
        <f ca="1">IFERROR(__xludf.DUMMYFUNCTION("""COMPUTED_VALUE"""),"Переход на Mobile SMARTS: Магазин 15 с КИРОВКОЙ, БАЗОВЫЙ для баз данных на Microsoft SQL Server ")</f>
        <v xml:space="preserve">Переход на Mobile SMARTS: Магазин 15 с КИРОВКОЙ, БАЗОВЫЙ для баз данных на Microsoft SQL Server </v>
      </c>
      <c r="F749" s="5">
        <f ca="1">IFERROR(__xludf.DUMMYFUNCTION("""COMPUTED_VALUE"""),7075)</f>
        <v>7075</v>
      </c>
    </row>
    <row r="750" spans="1:6" ht="44.25" customHeight="1" x14ac:dyDescent="0.2">
      <c r="A750" s="4" t="str">
        <f ca="1">IFERROR(__xludf.DUMMYFUNCTION("""COMPUTED_VALUE"""),"баз данных на Microsoft SQL Server")</f>
        <v>баз данных на Microsoft SQL Server</v>
      </c>
      <c r="B750" s="4" t="str">
        <f ca="1">IFERROR(__xludf.DUMMYFUNCTION("""COMPUTED_VALUE"""),"ШМОТКИ, РАСШИРЕННЫЙ")</f>
        <v>ШМОТКИ, РАСШИРЕННЫЙ</v>
      </c>
      <c r="C750" s="4" t="str">
        <f ca="1">IFERROR(__xludf.DUMMYFUNCTION("""COMPUTED_VALUE"""),"UP2-RTL15BK-MSSQL")</f>
        <v>UP2-RTL15BK-MSSQL</v>
      </c>
      <c r="D750" s="4" t="str">
        <f ca="1">IFERROR(__xludf.DUMMYFUNCTION("""COMPUTED_VALUE"""),"Переход на Mobile SMARTS: Магазин 15 с КИРОВКОЙ, РАСШИРЕННЫЙ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штрихкод"&amp;"ам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"&amp;"сбор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устройст"&amp;"во, подписка на обновления на 1 (один) год")</f>
        <v>Переход на Mobile SMARTS: Магазин 15 с КИРОВКОЙ, РАСШИРЕННЫЙ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50" s="4" t="str">
        <f ca="1">IFERROR(__xludf.DUMMYFUNCTION("""COMPUTED_VALUE"""),"Переход на Mobile SMARTS: Магазин 15 с КИРОВКОЙ, РАСШИРЕННЫЙ для баз данных на Microsoft SQL Server ")</f>
        <v xml:space="preserve">Переход на Mobile SMARTS: Магазин 15 с КИРОВКОЙ, РАСШИРЕННЫЙ для баз данных на Microsoft SQL Server </v>
      </c>
      <c r="F750" s="5">
        <f ca="1">IFERROR(__xludf.DUMMYFUNCTION("""COMPUTED_VALUE"""),10275)</f>
        <v>10275</v>
      </c>
    </row>
    <row r="751" spans="1:6" ht="44.25" customHeight="1" x14ac:dyDescent="0.2">
      <c r="A751" s="4" t="str">
        <f ca="1">IFERROR(__xludf.DUMMYFUNCTION("""COMPUTED_VALUE"""),"баз данных на Microsoft SQL Server")</f>
        <v>баз данных на Microsoft SQL Server</v>
      </c>
      <c r="B751" s="4" t="str">
        <f ca="1">IFERROR(__xludf.DUMMYFUNCTION("""COMPUTED_VALUE"""),"ШМОТКИ, МЕГАМАРКЕТ")</f>
        <v>ШМОТКИ, МЕГАМАРКЕТ</v>
      </c>
      <c r="C751" s="4" t="str">
        <f ca="1">IFERROR(__xludf.DUMMYFUNCTION("""COMPUTED_VALUE"""),"UP2-RTL15CK-MSSQL")</f>
        <v>UP2-RTL15CK-MSSQL</v>
      </c>
      <c r="D751" s="4" t="str">
        <f ca="1">IFERROR(__xludf.DUMMYFUNCTION("""COMPUTED_VALUE"""),"Переход на Mobile SMARTS: Магазин 15 с КИРОВКОЙ, МЕГАМАРКЕТ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штрихкода"&amp;"м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"&amp;"(одно) моб. устройство, подписка на обновления на 1 (один) год")</f>
        <v>Переход на Mobile SMARTS: Магазин 15 с КИРОВКОЙ, МЕГАМАРКЕТ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51" s="4" t="str">
        <f ca="1">IFERROR(__xludf.DUMMYFUNCTION("""COMPUTED_VALUE"""),"Переход на Mobile SMARTS: Магазин 15 с КИРОВКОЙ, МЕГАМАРКЕТ для баз данных на Microsoft SQL Server ")</f>
        <v xml:space="preserve">Переход на Mobile SMARTS: Магазин 15 с КИРОВКОЙ, МЕГАМАРКЕТ для баз данных на Microsoft SQL Server </v>
      </c>
      <c r="F751" s="5">
        <f ca="1">IFERROR(__xludf.DUMMYFUNCTION("""COMPUTED_VALUE"""),14175)</f>
        <v>14175</v>
      </c>
    </row>
    <row r="752" spans="1:6" ht="44.25" customHeight="1" x14ac:dyDescent="0.2">
      <c r="A752" s="4" t="str">
        <f ca="1">IFERROR(__xludf.DUMMYFUNCTION("""COMPUTED_VALUE"""),"баз данных на Microsoft SQL Server")</f>
        <v>баз данных на Microsoft SQL Server</v>
      </c>
      <c r="B752" s="4" t="str">
        <f ca="1">IFERROR(__xludf.DUMMYFUNCTION("""COMPUTED_VALUE"""),"с МДЛП, БАЗОВЫЙ")</f>
        <v>с МДЛП, БАЗОВЫЙ</v>
      </c>
      <c r="C752" s="4" t="str">
        <f ca="1">IFERROR(__xludf.DUMMYFUNCTION("""COMPUTED_VALUE"""),"UP2-RTL15AL-MSSQL")</f>
        <v>UP2-RTL15AL-MSSQL</v>
      </c>
      <c r="D752" s="4" t="str">
        <f ca="1">IFERROR(__xludf.DUMMYFUNCTION("""COMPUTED_VALUE"""),"Переход на Mobile SMARTS: Магазин 15 с МДЛП, БАЗОВЫЙ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про"&amp;"водной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на 1 (один) год")</f>
        <v>Переход на Mobile SMARTS: Магазин 15 с МДЛП, БАЗОВЫЙ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52" s="4" t="str">
        <f ca="1">IFERROR(__xludf.DUMMYFUNCTION("""COMPUTED_VALUE"""),"Переход на Mobile SMARTS: Магазин 15 с МДЛП, БАЗОВЫЙ для баз данных на Microsoft SQL Server ")</f>
        <v xml:space="preserve">Переход на Mobile SMARTS: Магазин 15 с МДЛП, БАЗОВЫЙ для баз данных на Microsoft SQL Server </v>
      </c>
      <c r="F752" s="5">
        <f ca="1">IFERROR(__xludf.DUMMYFUNCTION("""COMPUTED_VALUE"""),5229)</f>
        <v>5229</v>
      </c>
    </row>
    <row r="753" spans="1:6" ht="44.25" customHeight="1" x14ac:dyDescent="0.2">
      <c r="A753" s="4" t="str">
        <f ca="1">IFERROR(__xludf.DUMMYFUNCTION("""COMPUTED_VALUE"""),"баз данных на Microsoft SQL Server")</f>
        <v>баз данных на Microsoft SQL Server</v>
      </c>
      <c r="B753" s="4" t="str">
        <f ca="1">IFERROR(__xludf.DUMMYFUNCTION("""COMPUTED_VALUE"""),"с МДЛП, РАСШИРЕННЫЙ")</f>
        <v>с МДЛП, РАСШИРЕННЫЙ</v>
      </c>
      <c r="C753" s="4" t="str">
        <f ca="1">IFERROR(__xludf.DUMMYFUNCTION("""COMPUTED_VALUE"""),"UP2-RTL15BL-MSSQL")</f>
        <v>UP2-RTL15BL-MSSQL</v>
      </c>
      <c r="D753" s="4" t="str">
        <f ca="1">IFERROR(__xludf.DUMMYFUNCTION("""COMPUTED_VALUE"""),"Переход на Mobile SMARTS: Магазин 15 с МДЛП, РАСШИРЕННЫЙ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выбор"&amp;"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штрихкод"&amp;"ов,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"&amp;"на обновления на 1 (один) год")</f>
        <v>Переход на Mobile SMARTS: Магазин 15 с МДЛП, РАСШИРЕННЫЙ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53" s="4" t="str">
        <f ca="1">IFERROR(__xludf.DUMMYFUNCTION("""COMPUTED_VALUE"""),"Переход на Mobile SMARTS: Магазин 15 с МДЛП, РАСШИРЕННЫЙ для баз данных на Microsoft SQL Server ")</f>
        <v xml:space="preserve">Переход на Mobile SMARTS: Магазин 15 с МДЛП, РАСШИРЕННЫЙ для баз данных на Microsoft SQL Server </v>
      </c>
      <c r="F753" s="5">
        <f ca="1">IFERROR(__xludf.DUMMYFUNCTION("""COMPUTED_VALUE"""),7689)</f>
        <v>7689</v>
      </c>
    </row>
    <row r="754" spans="1:6" ht="44.25" customHeight="1" x14ac:dyDescent="0.2">
      <c r="A754" s="4" t="str">
        <f ca="1">IFERROR(__xludf.DUMMYFUNCTION("""COMPUTED_VALUE"""),"баз данных на Microsoft SQL Server")</f>
        <v>баз данных на Microsoft SQL Server</v>
      </c>
      <c r="B754" s="4" t="str">
        <f ca="1">IFERROR(__xludf.DUMMYFUNCTION("""COMPUTED_VALUE"""),"с МДЛП, МЕГАМАРКЕТ")</f>
        <v>с МДЛП, МЕГАМАРКЕТ</v>
      </c>
      <c r="C754" s="4" t="str">
        <f ca="1">IFERROR(__xludf.DUMMYFUNCTION("""COMPUTED_VALUE"""),"UP2-RTL15CL-MSSQL")</f>
        <v>UP2-RTL15CL-MSSQL</v>
      </c>
      <c r="D754" s="4" t="str">
        <f ca="1">IFERROR(__xludf.DUMMYFUNCTION("""COMPUTED_VALUE"""),"Переход на Mobile SMARTS: Магазин 15 с МДЛП, МЕГАМАРКЕТ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"&amp;"проводной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штрихкодо"&amp;"в,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у"&amp;"стройство, подписка на обновления на 1 (один) год")</f>
        <v>Переход на Mobile SMARTS: Магазин 15 с МДЛП, МЕГАМАРКЕТ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на 1 (один) год</v>
      </c>
      <c r="E754" s="4" t="str">
        <f ca="1">IFERROR(__xludf.DUMMYFUNCTION("""COMPUTED_VALUE"""),"Переход на Mobile SMARTS: Магазин 15 с МДЛП, МЕГАМАРКЕТ для баз данных на Microsoft SQL Server ")</f>
        <v xml:space="preserve">Переход на Mobile SMARTS: Магазин 15 с МДЛП, МЕГАМАРКЕТ для баз данных на Microsoft SQL Server </v>
      </c>
      <c r="F754" s="5">
        <f ca="1">IFERROR(__xludf.DUMMYFUNCTION("""COMPUTED_VALUE"""),11349)</f>
        <v>11349</v>
      </c>
    </row>
    <row r="755" spans="1:6" ht="44.25" customHeight="1" x14ac:dyDescent="0.2">
      <c r="A755" s="4" t="str">
        <f ca="1">IFERROR(__xludf.DUMMYFUNCTION("""COMPUTED_VALUE"""),"баз данных на Microsoft SQL Server")</f>
        <v>баз данных на Microsoft SQL Server</v>
      </c>
      <c r="B755" s="4" t="str">
        <f ca="1">IFERROR(__xludf.DUMMYFUNCTION("""COMPUTED_VALUE"""),"ПРОДУКТОВЫЙ, БАЗОВЫЙ")</f>
        <v>ПРОДУКТОВЫЙ, БАЗОВЫЙ</v>
      </c>
      <c r="C755" s="4" t="str">
        <f ca="1">IFERROR(__xludf.DUMMYFUNCTION("""COMPUTED_VALUE"""),"UP2-RTL15AG-MSSQL")</f>
        <v>UP2-RTL15AG-MSSQL</v>
      </c>
      <c r="D755" s="4" t="str">
        <f ca="1">IFERROR(__xludf.DUMMYFUNCTION("""COMPUTED_VALUE"""),"Переход на Mobile SMARTS: Магазин 15 ПРОДУКТОВЫЙ, БАЗОВЫЙ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ОБУВ"&amp;"Ь,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о"&amp;"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БАЗОВЫЙ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55" s="4" t="str">
        <f ca="1">IFERROR(__xludf.DUMMYFUNCTION("""COMPUTED_VALUE"""),"Переход на Mobile SMARTS: Магазин 15 ПРОДУКТОВЫЙ, БАЗОВЫЙ для баз данных на Microsoft SQL Server ")</f>
        <v xml:space="preserve">Переход на Mobile SMARTS: Магазин 15 ПРОДУКТОВЫЙ, БАЗОВЫЙ для баз данных на Microsoft SQL Server </v>
      </c>
      <c r="F755" s="5">
        <f ca="1">IFERROR(__xludf.DUMMYFUNCTION("""COMPUTED_VALUE"""),6579)</f>
        <v>6579</v>
      </c>
    </row>
    <row r="756" spans="1:6" ht="44.25" customHeight="1" x14ac:dyDescent="0.2">
      <c r="A756" s="4" t="str">
        <f ca="1">IFERROR(__xludf.DUMMYFUNCTION("""COMPUTED_VALUE"""),"баз данных на Microsoft SQL Server")</f>
        <v>баз данных на Microsoft SQL Server</v>
      </c>
      <c r="B756" s="4" t="str">
        <f ca="1">IFERROR(__xludf.DUMMYFUNCTION("""COMPUTED_VALUE"""),"ПРОДУКТОВЫЙ, РАСШИРЕННЫЙ")</f>
        <v>ПРОДУКТОВЫЙ, РАСШИРЕННЫЙ</v>
      </c>
      <c r="C756" s="4" t="str">
        <f ca="1">IFERROR(__xludf.DUMMYFUNCTION("""COMPUTED_VALUE"""),"UP2-RTL15BG-MSSQL")</f>
        <v>UP2-RTL15BG-MSSQL</v>
      </c>
      <c r="D756" s="4" t="str">
        <f ca="1">IFERROR(__xludf.DUMMYFUNCTION("""COMPUTED_VALUE"""),"Переход на Mobile SMARTS: Магазин 15 ПРОДУКТОВЫЙ, РАСШИРЕННЫЙ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"&amp;"ОБУВЬ,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("&amp;"в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информац"&amp;"ия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РАСШИРЕННЫЙ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56" s="4" t="str">
        <f ca="1">IFERROR(__xludf.DUMMYFUNCTION("""COMPUTED_VALUE"""),"Переход на Mobile SMARTS: Магазин 15 ПРОДУКТОВЫЙ, РАСШИРЕННЫЙ для баз данных на Microsoft SQL Server ")</f>
        <v xml:space="preserve">Переход на Mobile SMARTS: Магазин 15 ПРОДУКТОВЫЙ, РАСШИРЕННЫЙ для баз данных на Microsoft SQL Server </v>
      </c>
      <c r="F756" s="5">
        <f ca="1">IFERROR(__xludf.DUMMYFUNCTION("""COMPUTED_VALUE"""),9039)</f>
        <v>9039</v>
      </c>
    </row>
    <row r="757" spans="1:6" ht="44.25" customHeight="1" x14ac:dyDescent="0.2">
      <c r="A757" s="4" t="str">
        <f ca="1">IFERROR(__xludf.DUMMYFUNCTION("""COMPUTED_VALUE"""),"баз данных на Microsoft SQL Server")</f>
        <v>баз данных на Microsoft SQL Server</v>
      </c>
      <c r="B757" s="4" t="str">
        <f ca="1">IFERROR(__xludf.DUMMYFUNCTION("""COMPUTED_VALUE"""),"ПРОДУКТОВЫЙ, МЕГАМАРКЕТ")</f>
        <v>ПРОДУКТОВЫЙ, МЕГАМАРКЕТ</v>
      </c>
      <c r="C757" s="4" t="str">
        <f ca="1">IFERROR(__xludf.DUMMYFUNCTION("""COMPUTED_VALUE"""),"UP2-RTL15CG-MSSQL")</f>
        <v>UP2-RTL15CG-MSSQL</v>
      </c>
      <c r="D757" s="4" t="str">
        <f ca="1">IFERROR(__xludf.DUMMYFUNCTION("""COMPUTED_VALUE"""),"Переход на Mobile SMARTS: Магазин 15 ПРОДУКТОВЫЙ, МЕГАМАРКЕТ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О"&amp;"БУВЬ,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(в"&amp;"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коллектив"&amp;"ная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Переход на Mobile SMARTS: Магазин 15 ПРОДУКТОВЫЙ, МЕГАМАРКЕТ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57" s="4" t="str">
        <f ca="1">IFERROR(__xludf.DUMMYFUNCTION("""COMPUTED_VALUE"""),"Переход на Mobile SMARTS: Магазин 15 ПРОДУКТОВЫЙ, МЕГАМАРКЕТ для баз данных на Microsoft SQL Server ")</f>
        <v xml:space="preserve">Переход на Mobile SMARTS: Магазин 15 ПРОДУКТОВЫЙ, МЕГАМАРКЕТ для баз данных на Microsoft SQL Server </v>
      </c>
      <c r="F757" s="5">
        <f ca="1">IFERROR(__xludf.DUMMYFUNCTION("""COMPUTED_VALUE"""),15084.5)</f>
        <v>15084.5</v>
      </c>
    </row>
    <row r="758" spans="1:6" ht="44.25" customHeight="1" x14ac:dyDescent="0.2">
      <c r="A758" s="4" t="str">
        <f ca="1">IFERROR(__xludf.DUMMYFUNCTION("""COMPUTED_VALUE"""),"Frontol Simple")</f>
        <v>Frontol Simple</v>
      </c>
      <c r="B758" s="4" t="str">
        <f ca="1">IFERROR(__xludf.DUMMYFUNCTION("""COMPUTED_VALUE"""),"МИНИМУМ")</f>
        <v>МИНИМУМ</v>
      </c>
      <c r="C758" s="4" t="str">
        <f ca="1">IFERROR(__xludf.DUMMYFUNCTION("""COMPUTED_VALUE"""),"UP2-RTL15M-SMPL")</f>
        <v>UP2-RTL15M-SMPL</v>
      </c>
      <c r="D758" s="4" t="str">
        <f ca="1">IFERROR(__xludf.DUMMYFUNCTION("""COMPUTED_VALUE"""),"Переход на Mobile SMARTS: Магазин 15, МИНИМУМ для Frontol Simple / только беспроводной обмен / доступные операции: приходная накладная, инвентаризация / возможности: нельзя изменять существующие операции, нельзя добавлять свои операции / бессрочная лиценз"&amp;"ия на 1 (одно) моб. устройство, подписка на обновления на 1 (один) год")</f>
        <v>Переход на Mobile SMARTS: Магазин 15, МИНИМУМ для Frontol Simple / только беспроводной обмен / доступные операции: приходная накладная, инвентаризация / возможности: нельзя изменять существующие операции, нельзя добавлять свои операции / бессрочная лицензия на 1 (одно) моб. устройство, подписка на обновления на 1 (один) год</v>
      </c>
      <c r="E758" s="4" t="str">
        <f ca="1">IFERROR(__xludf.DUMMYFUNCTION("""COMPUTED_VALUE"""),"Переход на Mobile SMARTS: Магазин 15, МИНИМУМ для Frontol Simple ")</f>
        <v xml:space="preserve">Переход на Mobile SMARTS: Магазин 15, МИНИМУМ для Frontol Simple </v>
      </c>
      <c r="F758" s="5">
        <f ca="1">IFERROR(__xludf.DUMMYFUNCTION("""COMPUTED_VALUE"""),574.5)</f>
        <v>574.5</v>
      </c>
    </row>
    <row r="759" spans="1:6" ht="44.25" customHeight="1" x14ac:dyDescent="0.2">
      <c r="A759" s="4"/>
      <c r="B759" s="4"/>
      <c r="C759" s="4" t="str">
        <f ca="1">IFERROR(__xludf.DUMMYFUNCTION("""COMPUTED_VALUE"""),"UP2-")</f>
        <v>UP2-</v>
      </c>
      <c r="D759" s="4" t="str">
        <f ca="1">IFERROR(__xludf.DUMMYFUNCTION("""COMPUTED_VALUE"""),"Переход на SetRetail10")</f>
        <v>Переход на SetRetail10</v>
      </c>
      <c r="E759" s="4" t="str">
        <f ca="1">IFERROR(__xludf.DUMMYFUNCTION("""COMPUTED_VALUE"""),"#VALUE!")</f>
        <v>#VALUE!</v>
      </c>
      <c r="F759" s="4" t="str">
        <f ca="1">IFERROR(__xludf.DUMMYFUNCTION("""COMPUTED_VALUE"""),"#N/A")</f>
        <v>#N/A</v>
      </c>
    </row>
    <row r="760" spans="1:6" ht="44.25" customHeight="1" x14ac:dyDescent="0.2">
      <c r="A760" s="4" t="str">
        <f ca="1">IFERROR(__xludf.DUMMYFUNCTION("""COMPUTED_VALUE"""),"интеграции с SetRetail 10")</f>
        <v>интеграции с SetRetail 10</v>
      </c>
      <c r="B760" s="4" t="str">
        <f ca="1">IFERROR(__xludf.DUMMYFUNCTION("""COMPUTED_VALUE"""),"РАСШИРЕННЫЙ")</f>
        <v>РАСШИРЕННЫЙ</v>
      </c>
      <c r="C760" s="4" t="str">
        <f ca="1">IFERROR(__xludf.DUMMYFUNCTION("""COMPUTED_VALUE"""),"UP2-RTL15B-SR10")</f>
        <v>UP2-RTL15B-SR10</v>
      </c>
      <c r="D760" s="4" t="str">
        <f ca="1">IFERROR(__xludf.DUMMYFUNCTION("""COMPUTED_VALUE"""),"Переход на Mobile SMARTS: Магазин 15, РАСШИРЕННЫЙ для интеграции с SetRetail 10 / только беспроводной обмен / доступные операции: переоценка, информация о товаре по штрихкоду / возможности: печать на мобильный принтер, изменять существующие операции, доба"&amp;"влять свои операции / бессрочная лицензия на 1 (одно) моб. устройство, подписка на обновления на 1 (один) год")</f>
        <v>Переход на Mobile SMARTS: Магазин 15, РАСШИРЕННЫЙ для интеграции с SetRetail 10 / только беспроводной обмен / доступные операции: переоценка, информация о товаре по штрихкоду / возможности: печать на мобильный принтер, изменять существующие операции, добавлять свои операции / бессрочная лицензия на 1 (одно) моб. устройство, подписка на обновления на 1 (один) год</v>
      </c>
      <c r="E760" s="4" t="str">
        <f ca="1">IFERROR(__xludf.DUMMYFUNCTION("""COMPUTED_VALUE"""),"Переход на Mobile SMARTS: Магазин 15, РАСШИРЕННЫЙ для интеграции с SetRetail 10 ")</f>
        <v xml:space="preserve">Переход на Mobile SMARTS: Магазин 15, РАСШИРЕННЫЙ для интеграции с SetRetail 10 </v>
      </c>
      <c r="F760" s="5">
        <f ca="1">IFERROR(__xludf.DUMMYFUNCTION("""COMPUTED_VALUE"""),5789)</f>
        <v>5789</v>
      </c>
    </row>
    <row r="761" spans="1:6" ht="44.25" customHeight="1" x14ac:dyDescent="0.2">
      <c r="A761" s="4"/>
      <c r="B761" s="4"/>
      <c r="C761" s="4"/>
      <c r="D761" s="4"/>
      <c r="E761" s="4"/>
      <c r="F761" s="4"/>
    </row>
    <row r="762" spans="1:6" ht="44.25" customHeight="1" x14ac:dyDescent="0.2">
      <c r="A762" s="4"/>
      <c r="B762" s="4"/>
      <c r="C762" s="4"/>
      <c r="D762" s="4"/>
      <c r="E762" s="4"/>
      <c r="F762" s="4"/>
    </row>
    <row r="763" spans="1:6" ht="44.25" customHeight="1" x14ac:dyDescent="0.2">
      <c r="A763" s="4"/>
      <c r="B763" s="4"/>
      <c r="C763" s="4"/>
      <c r="D763" s="4"/>
      <c r="E763" s="4"/>
      <c r="F763" s="4"/>
    </row>
    <row r="764" spans="1:6" ht="44.25" customHeight="1" x14ac:dyDescent="0.2">
      <c r="A764" s="4"/>
      <c r="B764" s="4"/>
      <c r="C764" s="4"/>
      <c r="D764" s="4"/>
      <c r="E764" s="4"/>
      <c r="F764" s="4"/>
    </row>
    <row r="765" spans="1:6" ht="44.25" customHeight="1" x14ac:dyDescent="0.2">
      <c r="A765" s="4"/>
      <c r="B765" s="4"/>
      <c r="C765" s="4"/>
      <c r="D765" s="4"/>
      <c r="E765" s="4"/>
      <c r="F765" s="4"/>
    </row>
    <row r="766" spans="1:6" ht="44.25" customHeight="1" x14ac:dyDescent="0.2">
      <c r="A766" s="4"/>
      <c r="B766" s="4"/>
      <c r="C766" s="4"/>
      <c r="D766" s="4"/>
      <c r="E766" s="4"/>
      <c r="F766" s="4"/>
    </row>
    <row r="767" spans="1:6" ht="44.25" customHeight="1" x14ac:dyDescent="0.2">
      <c r="A767" s="4"/>
      <c r="B767" s="4"/>
      <c r="C767" s="4"/>
      <c r="D767" s="4"/>
      <c r="E767" s="4"/>
      <c r="F767" s="4"/>
    </row>
    <row r="768" spans="1:6" ht="44.25" customHeight="1" x14ac:dyDescent="0.2">
      <c r="A768" s="4"/>
      <c r="B768" s="4"/>
      <c r="C768" s="4"/>
      <c r="D768" s="4"/>
      <c r="E768" s="4"/>
      <c r="F768" s="4"/>
    </row>
    <row r="769" spans="1:6" ht="44.25" customHeight="1" x14ac:dyDescent="0.2">
      <c r="A769" s="4"/>
      <c r="B769" s="4"/>
      <c r="C769" s="4"/>
      <c r="D769" s="4"/>
      <c r="E769" s="4"/>
      <c r="F769" s="4"/>
    </row>
    <row r="770" spans="1:6" ht="44.25" customHeight="1" x14ac:dyDescent="0.2">
      <c r="A770" s="4"/>
      <c r="B770" s="4"/>
      <c r="C770" s="4"/>
      <c r="D770" s="4"/>
      <c r="E770" s="4"/>
      <c r="F770" s="4"/>
    </row>
    <row r="771" spans="1:6" ht="44.25" customHeight="1" x14ac:dyDescent="0.2">
      <c r="A771" s="4"/>
      <c r="B771" s="4"/>
      <c r="C771" s="4"/>
      <c r="D771" s="4"/>
      <c r="E771" s="4"/>
      <c r="F771" s="4"/>
    </row>
    <row r="772" spans="1:6" ht="44.25" customHeight="1" x14ac:dyDescent="0.2">
      <c r="A772" s="4"/>
      <c r="B772" s="4"/>
      <c r="C772" s="4"/>
      <c r="D772" s="4"/>
      <c r="E772" s="4"/>
      <c r="F772" s="4"/>
    </row>
    <row r="773" spans="1:6" ht="44.25" customHeight="1" x14ac:dyDescent="0.2">
      <c r="A773" s="4"/>
      <c r="B773" s="4"/>
      <c r="C773" s="4"/>
      <c r="D773" s="4"/>
      <c r="E773" s="4"/>
      <c r="F773" s="4"/>
    </row>
    <row r="774" spans="1:6" ht="44.25" customHeight="1" x14ac:dyDescent="0.2">
      <c r="A774" s="4"/>
      <c r="B774" s="4"/>
      <c r="C774" s="4"/>
      <c r="D774" s="4"/>
      <c r="E774" s="4"/>
      <c r="F774" s="4"/>
    </row>
    <row r="775" spans="1:6" ht="44.25" customHeight="1" x14ac:dyDescent="0.2">
      <c r="A775" s="4"/>
      <c r="B775" s="4"/>
      <c r="C775" s="4"/>
      <c r="D775" s="4"/>
      <c r="E775" s="4"/>
      <c r="F775" s="4"/>
    </row>
    <row r="776" spans="1:6" ht="44.25" customHeight="1" x14ac:dyDescent="0.2">
      <c r="A776" s="4"/>
      <c r="B776" s="4"/>
      <c r="C776" s="4"/>
      <c r="D776" s="4"/>
      <c r="E776" s="4"/>
      <c r="F776" s="4"/>
    </row>
    <row r="777" spans="1:6" ht="44.25" customHeight="1" x14ac:dyDescent="0.2">
      <c r="A777" s="4"/>
      <c r="B777" s="4"/>
      <c r="C777" s="4"/>
      <c r="D777" s="4"/>
      <c r="E777" s="4"/>
      <c r="F777" s="4"/>
    </row>
    <row r="778" spans="1:6" ht="44.25" customHeight="1" x14ac:dyDescent="0.2">
      <c r="A778" s="4"/>
      <c r="B778" s="4"/>
      <c r="C778" s="4"/>
      <c r="D778" s="4"/>
      <c r="E778" s="4"/>
      <c r="F778" s="4"/>
    </row>
    <row r="779" spans="1:6" ht="44.25" customHeight="1" x14ac:dyDescent="0.2">
      <c r="A779" s="4"/>
      <c r="B779" s="4"/>
      <c r="C779" s="4"/>
      <c r="D779" s="4"/>
      <c r="E779" s="4"/>
      <c r="F779" s="4"/>
    </row>
    <row r="780" spans="1:6" ht="44.25" customHeight="1" x14ac:dyDescent="0.2">
      <c r="A780" s="4"/>
      <c r="B780" s="4"/>
      <c r="C780" s="4"/>
      <c r="D780" s="4"/>
      <c r="E780" s="4"/>
      <c r="F780" s="4"/>
    </row>
    <row r="781" spans="1:6" ht="44.25" customHeight="1" x14ac:dyDescent="0.2">
      <c r="A781" s="4"/>
      <c r="B781" s="4"/>
      <c r="C781" s="4"/>
      <c r="D781" s="4"/>
      <c r="E781" s="4"/>
      <c r="F781" s="4"/>
    </row>
    <row r="782" spans="1:6" ht="44.25" customHeight="1" x14ac:dyDescent="0.2">
      <c r="A782" s="4"/>
      <c r="B782" s="4"/>
      <c r="C782" s="4"/>
      <c r="D782" s="4"/>
      <c r="E782" s="4"/>
      <c r="F782" s="4"/>
    </row>
    <row r="783" spans="1:6" ht="44.25" customHeight="1" x14ac:dyDescent="0.2">
      <c r="A783" s="4"/>
      <c r="B783" s="4"/>
      <c r="C783" s="4"/>
      <c r="D783" s="4"/>
      <c r="E783" s="4"/>
      <c r="F783" s="4"/>
    </row>
    <row r="784" spans="1:6" ht="44.25" customHeight="1" x14ac:dyDescent="0.2">
      <c r="A784" s="4"/>
      <c r="B784" s="4"/>
      <c r="C784" s="4"/>
      <c r="D784" s="4"/>
      <c r="E784" s="4"/>
      <c r="F784" s="4"/>
    </row>
    <row r="785" spans="1:6" ht="44.25" customHeight="1" x14ac:dyDescent="0.2">
      <c r="A785" s="4"/>
      <c r="B785" s="4"/>
      <c r="C785" s="4"/>
      <c r="D785" s="4"/>
      <c r="E785" s="4"/>
      <c r="F785" s="4"/>
    </row>
    <row r="786" spans="1:6" ht="44.25" customHeight="1" x14ac:dyDescent="0.2">
      <c r="A786" s="4"/>
      <c r="B786" s="4"/>
      <c r="C786" s="4"/>
      <c r="D786" s="4"/>
      <c r="E786" s="4"/>
      <c r="F786" s="4"/>
    </row>
    <row r="787" spans="1:6" ht="44.25" customHeight="1" x14ac:dyDescent="0.2">
      <c r="A787" s="4"/>
      <c r="B787" s="4"/>
      <c r="C787" s="4"/>
      <c r="D787" s="4"/>
      <c r="E787" s="4"/>
      <c r="F787" s="4"/>
    </row>
    <row r="788" spans="1:6" ht="44.25" customHeight="1" x14ac:dyDescent="0.2">
      <c r="A788" s="4"/>
      <c r="B788" s="4"/>
      <c r="C788" s="4"/>
      <c r="D788" s="4"/>
      <c r="E788" s="4"/>
      <c r="F788" s="4"/>
    </row>
    <row r="789" spans="1:6" ht="44.25" customHeight="1" x14ac:dyDescent="0.2">
      <c r="A789" s="4"/>
      <c r="B789" s="4"/>
      <c r="C789" s="4"/>
      <c r="D789" s="4"/>
      <c r="E789" s="4"/>
      <c r="F789" s="4"/>
    </row>
    <row r="790" spans="1:6" ht="44.25" customHeight="1" x14ac:dyDescent="0.2">
      <c r="A790" s="4"/>
      <c r="B790" s="4"/>
      <c r="C790" s="4"/>
      <c r="D790" s="4"/>
      <c r="E790" s="4"/>
      <c r="F790" s="4"/>
    </row>
    <row r="791" spans="1:6" ht="44.25" customHeight="1" x14ac:dyDescent="0.2">
      <c r="A791" s="4"/>
      <c r="B791" s="4"/>
      <c r="C791" s="4"/>
      <c r="D791" s="4"/>
      <c r="E791" s="4"/>
      <c r="F791" s="4"/>
    </row>
    <row r="792" spans="1:6" ht="44.25" customHeight="1" x14ac:dyDescent="0.2">
      <c r="A792" s="4"/>
      <c r="B792" s="4"/>
      <c r="C792" s="4"/>
      <c r="D792" s="4"/>
      <c r="E792" s="4"/>
      <c r="F792" s="4"/>
    </row>
    <row r="793" spans="1:6" ht="44.25" customHeight="1" x14ac:dyDescent="0.2">
      <c r="A793" s="4"/>
      <c r="B793" s="4"/>
      <c r="C793" s="4"/>
      <c r="D793" s="4"/>
      <c r="E793" s="4"/>
      <c r="F793" s="4"/>
    </row>
    <row r="794" spans="1:6" ht="44.25" customHeight="1" x14ac:dyDescent="0.2">
      <c r="A794" s="4"/>
      <c r="B794" s="4"/>
      <c r="C794" s="4"/>
      <c r="D794" s="4"/>
      <c r="E794" s="4"/>
      <c r="F794" s="4"/>
    </row>
    <row r="795" spans="1:6" ht="44.25" customHeight="1" x14ac:dyDescent="0.2">
      <c r="A795" s="4"/>
      <c r="B795" s="4"/>
      <c r="C795" s="4"/>
      <c r="D795" s="4"/>
      <c r="E795" s="4"/>
      <c r="F795" s="4"/>
    </row>
    <row r="796" spans="1:6" ht="44.25" customHeight="1" x14ac:dyDescent="0.2">
      <c r="A796" s="4"/>
      <c r="B796" s="4"/>
      <c r="C796" s="4"/>
      <c r="D796" s="4"/>
      <c r="E796" s="4"/>
      <c r="F796" s="4"/>
    </row>
    <row r="797" spans="1:6" ht="44.25" customHeight="1" x14ac:dyDescent="0.2">
      <c r="A797" s="4"/>
      <c r="B797" s="4"/>
      <c r="C797" s="4"/>
      <c r="D797" s="4"/>
      <c r="E797" s="4"/>
      <c r="F797" s="4"/>
    </row>
    <row r="798" spans="1:6" ht="44.25" customHeight="1" x14ac:dyDescent="0.2">
      <c r="A798" s="4"/>
      <c r="B798" s="4"/>
      <c r="C798" s="4"/>
      <c r="D798" s="4"/>
      <c r="E798" s="4"/>
      <c r="F798" s="4"/>
    </row>
    <row r="799" spans="1:6" ht="44.25" customHeight="1" x14ac:dyDescent="0.2">
      <c r="A799" s="4"/>
      <c r="B799" s="4"/>
      <c r="C799" s="4"/>
      <c r="D799" s="4"/>
      <c r="E799" s="4"/>
      <c r="F799" s="4"/>
    </row>
    <row r="800" spans="1:6" ht="44.25" customHeight="1" x14ac:dyDescent="0.2">
      <c r="A800" s="4"/>
      <c r="B800" s="4"/>
      <c r="C800" s="4"/>
      <c r="D800" s="4"/>
      <c r="E800" s="4"/>
      <c r="F800" s="4"/>
    </row>
    <row r="801" spans="1:6" ht="44.25" customHeight="1" x14ac:dyDescent="0.2">
      <c r="A801" s="4"/>
      <c r="B801" s="4"/>
      <c r="C801" s="4"/>
      <c r="D801" s="4"/>
      <c r="E801" s="4"/>
      <c r="F801" s="4"/>
    </row>
    <row r="802" spans="1:6" ht="44.25" customHeight="1" x14ac:dyDescent="0.2">
      <c r="A802" s="4"/>
      <c r="B802" s="4"/>
      <c r="C802" s="4"/>
      <c r="D802" s="4"/>
      <c r="E802" s="4"/>
      <c r="F802" s="4"/>
    </row>
    <row r="803" spans="1:6" ht="44.25" customHeight="1" x14ac:dyDescent="0.2">
      <c r="A803" s="4"/>
      <c r="B803" s="4"/>
      <c r="C803" s="4"/>
      <c r="D803" s="4"/>
      <c r="E803" s="4"/>
      <c r="F803" s="4"/>
    </row>
    <row r="804" spans="1:6" ht="44.25" customHeight="1" x14ac:dyDescent="0.2">
      <c r="A804" s="4"/>
      <c r="B804" s="4"/>
      <c r="C804" s="4"/>
      <c r="D804" s="4"/>
      <c r="E804" s="4"/>
      <c r="F804" s="4"/>
    </row>
    <row r="805" spans="1:6" ht="44.25" customHeight="1" x14ac:dyDescent="0.2">
      <c r="A805" s="4"/>
      <c r="B805" s="4"/>
      <c r="C805" s="4"/>
      <c r="D805" s="4"/>
      <c r="E805" s="4"/>
      <c r="F805" s="4"/>
    </row>
    <row r="806" spans="1:6" ht="44.25" customHeight="1" x14ac:dyDescent="0.2">
      <c r="A806" s="4"/>
      <c r="B806" s="4"/>
      <c r="C806" s="4"/>
      <c r="D806" s="4"/>
      <c r="E806" s="4"/>
      <c r="F806" s="4"/>
    </row>
    <row r="807" spans="1:6" ht="44.25" customHeight="1" x14ac:dyDescent="0.2">
      <c r="A807" s="4"/>
      <c r="B807" s="4"/>
      <c r="C807" s="4"/>
      <c r="D807" s="4"/>
      <c r="E807" s="4"/>
      <c r="F807" s="4"/>
    </row>
    <row r="808" spans="1:6" ht="44.25" customHeight="1" x14ac:dyDescent="0.2">
      <c r="A808" s="4"/>
      <c r="B808" s="4"/>
      <c r="C808" s="4"/>
      <c r="D808" s="4"/>
      <c r="E808" s="4"/>
      <c r="F808" s="4"/>
    </row>
    <row r="809" spans="1:6" ht="44.25" customHeight="1" x14ac:dyDescent="0.2">
      <c r="A809" s="4"/>
      <c r="B809" s="4"/>
      <c r="C809" s="4"/>
      <c r="D809" s="4"/>
      <c r="E809" s="4"/>
      <c r="F809" s="4"/>
    </row>
    <row r="810" spans="1:6" ht="44.25" customHeight="1" x14ac:dyDescent="0.2">
      <c r="A810" s="4"/>
      <c r="B810" s="4"/>
      <c r="C810" s="4"/>
      <c r="D810" s="4"/>
      <c r="E810" s="4"/>
      <c r="F810" s="4"/>
    </row>
    <row r="811" spans="1:6" ht="44.25" customHeight="1" x14ac:dyDescent="0.2">
      <c r="A811" s="4"/>
      <c r="B811" s="4"/>
      <c r="C811" s="4"/>
      <c r="D811" s="4"/>
      <c r="E811" s="4"/>
      <c r="F811" s="4"/>
    </row>
    <row r="812" spans="1:6" ht="44.25" customHeight="1" x14ac:dyDescent="0.2">
      <c r="A812" s="4"/>
      <c r="B812" s="4"/>
      <c r="C812" s="4"/>
      <c r="D812" s="4"/>
      <c r="E812" s="4"/>
      <c r="F812" s="4"/>
    </row>
    <row r="813" spans="1:6" ht="44.25" customHeight="1" x14ac:dyDescent="0.2">
      <c r="A813" s="4"/>
      <c r="B813" s="4"/>
      <c r="C813" s="4"/>
      <c r="D813" s="4"/>
      <c r="E813" s="4"/>
      <c r="F813" s="4"/>
    </row>
    <row r="814" spans="1:6" ht="44.25" customHeight="1" x14ac:dyDescent="0.2">
      <c r="A814" s="4"/>
      <c r="B814" s="4"/>
      <c r="C814" s="4"/>
      <c r="D814" s="4"/>
      <c r="E814" s="4"/>
      <c r="F814" s="4"/>
    </row>
    <row r="815" spans="1:6" ht="44.25" customHeight="1" x14ac:dyDescent="0.2">
      <c r="A815" s="4"/>
      <c r="B815" s="4"/>
      <c r="C815" s="4"/>
      <c r="D815" s="4"/>
      <c r="E815" s="4"/>
      <c r="F815" s="4"/>
    </row>
    <row r="816" spans="1:6" ht="44.25" customHeight="1" x14ac:dyDescent="0.2">
      <c r="A816" s="4"/>
      <c r="B816" s="4"/>
      <c r="C816" s="4"/>
      <c r="D816" s="4"/>
      <c r="E816" s="4"/>
      <c r="F816" s="4"/>
    </row>
    <row r="817" spans="1:6" ht="44.25" customHeight="1" x14ac:dyDescent="0.2">
      <c r="A817" s="4"/>
      <c r="B817" s="4"/>
      <c r="C817" s="4"/>
      <c r="D817" s="4"/>
      <c r="E817" s="4"/>
      <c r="F817" s="4"/>
    </row>
    <row r="818" spans="1:6" ht="44.25" customHeight="1" x14ac:dyDescent="0.2">
      <c r="A818" s="4"/>
      <c r="B818" s="4"/>
      <c r="C818" s="4"/>
      <c r="D818" s="4"/>
      <c r="E818" s="4"/>
      <c r="F818" s="4"/>
    </row>
    <row r="819" spans="1:6" ht="44.25" customHeight="1" x14ac:dyDescent="0.2">
      <c r="A819" s="4"/>
      <c r="B819" s="4"/>
      <c r="C819" s="4"/>
      <c r="D819" s="4"/>
      <c r="E819" s="4"/>
      <c r="F819" s="4"/>
    </row>
    <row r="820" spans="1:6" ht="44.25" customHeight="1" x14ac:dyDescent="0.2">
      <c r="A820" s="4"/>
      <c r="B820" s="4"/>
      <c r="C820" s="4"/>
      <c r="D820" s="4"/>
      <c r="E820" s="4"/>
      <c r="F820" s="4"/>
    </row>
    <row r="821" spans="1:6" ht="44.25" customHeight="1" x14ac:dyDescent="0.2">
      <c r="A821" s="4"/>
      <c r="B821" s="4"/>
      <c r="C821" s="4"/>
      <c r="D821" s="4"/>
      <c r="E821" s="4"/>
      <c r="F821" s="4"/>
    </row>
    <row r="822" spans="1:6" ht="44.25" customHeight="1" x14ac:dyDescent="0.2">
      <c r="A822" s="4"/>
      <c r="B822" s="4"/>
      <c r="C822" s="4"/>
      <c r="D822" s="4"/>
      <c r="E822" s="4"/>
      <c r="F822" s="4"/>
    </row>
    <row r="823" spans="1:6" ht="44.25" customHeight="1" x14ac:dyDescent="0.2">
      <c r="A823" s="4"/>
      <c r="B823" s="4"/>
      <c r="C823" s="4"/>
      <c r="D823" s="4"/>
      <c r="E823" s="4"/>
      <c r="F823" s="4"/>
    </row>
    <row r="824" spans="1:6" ht="44.25" customHeight="1" x14ac:dyDescent="0.2">
      <c r="A824" s="4"/>
      <c r="B824" s="4"/>
      <c r="C824" s="4"/>
      <c r="D824" s="4"/>
      <c r="E824" s="4"/>
      <c r="F824" s="4"/>
    </row>
    <row r="825" spans="1:6" ht="44.25" customHeight="1" x14ac:dyDescent="0.2">
      <c r="A825" s="4"/>
      <c r="B825" s="4"/>
      <c r="C825" s="4"/>
      <c r="D825" s="4"/>
      <c r="E825" s="4"/>
      <c r="F825" s="4"/>
    </row>
    <row r="826" spans="1:6" ht="44.25" customHeight="1" x14ac:dyDescent="0.2">
      <c r="A826" s="4"/>
      <c r="B826" s="4"/>
      <c r="C826" s="4"/>
      <c r="D826" s="4"/>
      <c r="E826" s="4"/>
      <c r="F826" s="4"/>
    </row>
    <row r="827" spans="1:6" ht="44.25" customHeight="1" x14ac:dyDescent="0.2">
      <c r="A827" s="4"/>
      <c r="B827" s="4"/>
      <c r="C827" s="4"/>
      <c r="D827" s="4"/>
      <c r="E827" s="4"/>
      <c r="F827" s="4"/>
    </row>
    <row r="828" spans="1:6" ht="44.25" customHeight="1" x14ac:dyDescent="0.2">
      <c r="A828" s="4"/>
      <c r="B828" s="4"/>
      <c r="C828" s="4"/>
      <c r="D828" s="4"/>
      <c r="E828" s="4"/>
      <c r="F828" s="4"/>
    </row>
    <row r="829" spans="1:6" ht="44.25" customHeight="1" x14ac:dyDescent="0.2">
      <c r="A829" s="4"/>
      <c r="B829" s="4"/>
      <c r="C829" s="4"/>
      <c r="D829" s="4"/>
      <c r="E829" s="4"/>
      <c r="F829" s="4"/>
    </row>
    <row r="830" spans="1:6" ht="44.25" customHeight="1" x14ac:dyDescent="0.2">
      <c r="A830" s="4"/>
      <c r="B830" s="4"/>
      <c r="C830" s="4"/>
      <c r="D830" s="4"/>
      <c r="E830" s="4"/>
      <c r="F830" s="4"/>
    </row>
    <row r="831" spans="1:6" ht="44.25" customHeight="1" x14ac:dyDescent="0.2">
      <c r="A831" s="4"/>
      <c r="B831" s="4"/>
      <c r="C831" s="4"/>
      <c r="D831" s="4"/>
      <c r="E831" s="4"/>
      <c r="F831" s="4"/>
    </row>
    <row r="832" spans="1:6" ht="44.25" customHeight="1" x14ac:dyDescent="0.2">
      <c r="A832" s="4"/>
      <c r="B832" s="4"/>
      <c r="C832" s="4"/>
      <c r="D832" s="4"/>
      <c r="E832" s="4"/>
      <c r="F832" s="4"/>
    </row>
    <row r="833" spans="1:6" ht="44.25" customHeight="1" x14ac:dyDescent="0.2">
      <c r="A833" s="4"/>
      <c r="B833" s="4"/>
      <c r="C833" s="4"/>
      <c r="D833" s="4"/>
      <c r="E833" s="4"/>
      <c r="F833" s="4"/>
    </row>
    <row r="834" spans="1:6" ht="44.25" customHeight="1" x14ac:dyDescent="0.2">
      <c r="A834" s="4"/>
      <c r="B834" s="4"/>
      <c r="C834" s="4"/>
      <c r="D834" s="4"/>
      <c r="E834" s="4"/>
      <c r="F834" s="4"/>
    </row>
    <row r="835" spans="1:6" ht="44.25" customHeight="1" x14ac:dyDescent="0.2">
      <c r="A835" s="4"/>
      <c r="B835" s="4"/>
      <c r="C835" s="4"/>
      <c r="D835" s="4"/>
      <c r="E835" s="4"/>
      <c r="F835" s="4"/>
    </row>
    <row r="836" spans="1:6" ht="44.25" customHeight="1" x14ac:dyDescent="0.2">
      <c r="A836" s="4"/>
      <c r="B836" s="4"/>
      <c r="C836" s="4"/>
      <c r="D836" s="4"/>
      <c r="E836" s="4"/>
      <c r="F836" s="4"/>
    </row>
    <row r="837" spans="1:6" ht="44.25" customHeight="1" x14ac:dyDescent="0.2">
      <c r="A837" s="4"/>
      <c r="B837" s="4"/>
      <c r="C837" s="4"/>
      <c r="D837" s="4"/>
      <c r="E837" s="4"/>
      <c r="F837" s="4"/>
    </row>
    <row r="838" spans="1:6" ht="44.25" customHeight="1" x14ac:dyDescent="0.2">
      <c r="A838" s="4"/>
      <c r="B838" s="4"/>
      <c r="C838" s="4"/>
      <c r="D838" s="4"/>
      <c r="E838" s="4"/>
      <c r="F838" s="4"/>
    </row>
    <row r="839" spans="1:6" ht="44.25" customHeight="1" x14ac:dyDescent="0.2">
      <c r="A839" s="4"/>
      <c r="B839" s="4"/>
      <c r="C839" s="4"/>
      <c r="D839" s="4"/>
      <c r="E839" s="4"/>
      <c r="F839" s="4"/>
    </row>
    <row r="840" spans="1:6" ht="44.25" customHeight="1" x14ac:dyDescent="0.2">
      <c r="A840" s="4"/>
      <c r="B840" s="4"/>
      <c r="C840" s="4"/>
      <c r="D840" s="4"/>
      <c r="E840" s="4"/>
      <c r="F840" s="4"/>
    </row>
    <row r="841" spans="1:6" ht="44.25" customHeight="1" x14ac:dyDescent="0.2">
      <c r="A841" s="4"/>
      <c r="B841" s="4"/>
      <c r="C841" s="4"/>
      <c r="D841" s="4"/>
      <c r="E841" s="4"/>
      <c r="F841" s="4"/>
    </row>
    <row r="842" spans="1:6" ht="44.25" customHeight="1" x14ac:dyDescent="0.2">
      <c r="A842" s="4"/>
      <c r="B842" s="4"/>
      <c r="C842" s="4"/>
      <c r="D842" s="4"/>
      <c r="E842" s="4"/>
      <c r="F842" s="4"/>
    </row>
    <row r="843" spans="1:6" ht="44.25" customHeight="1" x14ac:dyDescent="0.2">
      <c r="A843" s="4"/>
      <c r="B843" s="4"/>
      <c r="C843" s="4"/>
      <c r="D843" s="4"/>
      <c r="E843" s="4"/>
      <c r="F843" s="4"/>
    </row>
    <row r="844" spans="1:6" ht="44.25" customHeight="1" x14ac:dyDescent="0.2">
      <c r="A844" s="4"/>
      <c r="B844" s="4"/>
      <c r="C844" s="4"/>
      <c r="D844" s="4"/>
      <c r="E844" s="4"/>
      <c r="F844" s="4"/>
    </row>
    <row r="845" spans="1:6" ht="44.25" customHeight="1" x14ac:dyDescent="0.2">
      <c r="A845" s="4"/>
      <c r="B845" s="4"/>
      <c r="C845" s="4"/>
      <c r="D845" s="4"/>
      <c r="E845" s="4"/>
      <c r="F845" s="4"/>
    </row>
    <row r="846" spans="1:6" ht="44.25" customHeight="1" x14ac:dyDescent="0.2">
      <c r="A846" s="4"/>
      <c r="B846" s="4"/>
      <c r="C846" s="4"/>
      <c r="D846" s="4"/>
      <c r="E846" s="4"/>
      <c r="F846" s="4"/>
    </row>
    <row r="847" spans="1:6" ht="44.25" customHeight="1" x14ac:dyDescent="0.2">
      <c r="A847" s="4"/>
      <c r="B847" s="4"/>
      <c r="C847" s="4"/>
      <c r="D847" s="4"/>
      <c r="E847" s="4"/>
      <c r="F847" s="4"/>
    </row>
    <row r="848" spans="1:6" ht="44.25" customHeight="1" x14ac:dyDescent="0.2">
      <c r="A848" s="4"/>
      <c r="B848" s="4"/>
      <c r="C848" s="4"/>
      <c r="D848" s="4"/>
      <c r="E848" s="4"/>
      <c r="F848" s="4"/>
    </row>
    <row r="849" spans="1:6" ht="44.25" customHeight="1" x14ac:dyDescent="0.2">
      <c r="A849" s="4"/>
      <c r="B849" s="4"/>
      <c r="C849" s="4"/>
      <c r="D849" s="4"/>
      <c r="E849" s="4"/>
      <c r="F849" s="4"/>
    </row>
    <row r="850" spans="1:6" ht="44.25" customHeight="1" x14ac:dyDescent="0.2">
      <c r="A850" s="4"/>
      <c r="B850" s="4"/>
      <c r="C850" s="4"/>
      <c r="D850" s="4"/>
      <c r="E850" s="4"/>
      <c r="F850" s="4"/>
    </row>
    <row r="851" spans="1:6" ht="44.25" customHeight="1" x14ac:dyDescent="0.2">
      <c r="A851" s="4"/>
      <c r="B851" s="4"/>
      <c r="C851" s="4"/>
      <c r="D851" s="4"/>
      <c r="E851" s="4"/>
      <c r="F851" s="4"/>
    </row>
    <row r="852" spans="1:6" ht="44.25" customHeight="1" x14ac:dyDescent="0.2">
      <c r="A852" s="4"/>
      <c r="B852" s="4"/>
      <c r="C852" s="4"/>
      <c r="D852" s="4"/>
      <c r="E852" s="4"/>
      <c r="F852" s="4"/>
    </row>
    <row r="853" spans="1:6" ht="44.25" customHeight="1" x14ac:dyDescent="0.2">
      <c r="A853" s="4"/>
      <c r="B853" s="4"/>
      <c r="C853" s="4"/>
      <c r="D853" s="4"/>
      <c r="E853" s="4"/>
      <c r="F853" s="4"/>
    </row>
    <row r="854" spans="1:6" ht="44.25" customHeight="1" x14ac:dyDescent="0.2">
      <c r="A854" s="4"/>
      <c r="B854" s="4"/>
      <c r="C854" s="4"/>
      <c r="D854" s="4"/>
      <c r="E854" s="4"/>
      <c r="F854" s="4"/>
    </row>
    <row r="855" spans="1:6" ht="44.25" customHeight="1" x14ac:dyDescent="0.2">
      <c r="A855" s="4"/>
      <c r="B855" s="4"/>
      <c r="C855" s="4"/>
      <c r="D855" s="4"/>
      <c r="E855" s="4"/>
      <c r="F855" s="4"/>
    </row>
    <row r="856" spans="1:6" ht="44.25" customHeight="1" x14ac:dyDescent="0.2">
      <c r="A856" s="4"/>
      <c r="B856" s="4"/>
      <c r="C856" s="4"/>
      <c r="D856" s="4"/>
      <c r="E856" s="4"/>
      <c r="F856" s="4"/>
    </row>
    <row r="857" spans="1:6" ht="44.25" customHeight="1" x14ac:dyDescent="0.2">
      <c r="A857" s="4"/>
      <c r="B857" s="4"/>
      <c r="C857" s="4"/>
      <c r="D857" s="4"/>
      <c r="E857" s="4"/>
      <c r="F857" s="4"/>
    </row>
    <row r="858" spans="1:6" ht="44.25" customHeight="1" x14ac:dyDescent="0.2">
      <c r="A858" s="4"/>
      <c r="B858" s="4"/>
      <c r="C858" s="4"/>
      <c r="D858" s="4"/>
      <c r="E858" s="4"/>
      <c r="F858" s="4"/>
    </row>
    <row r="859" spans="1:6" ht="44.25" customHeight="1" x14ac:dyDescent="0.2">
      <c r="A859" s="4"/>
      <c r="B859" s="4"/>
      <c r="C859" s="4"/>
      <c r="D859" s="4"/>
      <c r="E859" s="4"/>
      <c r="F859" s="4"/>
    </row>
    <row r="860" spans="1:6" ht="44.25" customHeight="1" x14ac:dyDescent="0.2">
      <c r="A860" s="4"/>
      <c r="B860" s="4"/>
      <c r="C860" s="4"/>
      <c r="D860" s="4"/>
      <c r="E860" s="4"/>
      <c r="F860" s="4"/>
    </row>
    <row r="861" spans="1:6" ht="44.25" customHeight="1" x14ac:dyDescent="0.2">
      <c r="A861" s="4"/>
      <c r="B861" s="4"/>
      <c r="C861" s="4"/>
      <c r="D861" s="4"/>
      <c r="E861" s="4"/>
      <c r="F861" s="4"/>
    </row>
    <row r="862" spans="1:6" ht="44.25" customHeight="1" x14ac:dyDescent="0.2">
      <c r="A862" s="4"/>
      <c r="B862" s="4"/>
      <c r="C862" s="4"/>
      <c r="D862" s="4"/>
      <c r="E862" s="4"/>
      <c r="F862" s="4"/>
    </row>
    <row r="863" spans="1:6" ht="44.25" customHeight="1" x14ac:dyDescent="0.2">
      <c r="A863" s="4"/>
      <c r="B863" s="4"/>
      <c r="C863" s="4"/>
      <c r="D863" s="4"/>
      <c r="E863" s="4"/>
      <c r="F863" s="4"/>
    </row>
    <row r="864" spans="1:6" ht="44.25" customHeight="1" x14ac:dyDescent="0.2">
      <c r="A864" s="4"/>
      <c r="B864" s="4"/>
      <c r="C864" s="4"/>
      <c r="D864" s="4"/>
      <c r="E864" s="4"/>
      <c r="F864" s="4"/>
    </row>
    <row r="865" spans="1:6" ht="44.25" customHeight="1" x14ac:dyDescent="0.2">
      <c r="A865" s="4"/>
      <c r="B865" s="4"/>
      <c r="C865" s="4"/>
      <c r="D865" s="4"/>
      <c r="E865" s="4"/>
      <c r="F865" s="4"/>
    </row>
    <row r="866" spans="1:6" ht="44.25" customHeight="1" x14ac:dyDescent="0.2">
      <c r="A866" s="4"/>
      <c r="B866" s="4"/>
      <c r="C866" s="4"/>
      <c r="D866" s="4"/>
      <c r="E866" s="4"/>
      <c r="F866" s="4"/>
    </row>
    <row r="867" spans="1:6" ht="44.25" customHeight="1" x14ac:dyDescent="0.2">
      <c r="A867" s="4"/>
      <c r="B867" s="4"/>
      <c r="C867" s="4"/>
      <c r="D867" s="4"/>
      <c r="E867" s="4"/>
      <c r="F867" s="4"/>
    </row>
    <row r="868" spans="1:6" ht="44.25" customHeight="1" x14ac:dyDescent="0.2">
      <c r="A868" s="4"/>
      <c r="B868" s="4"/>
      <c r="C868" s="4"/>
      <c r="D868" s="4"/>
      <c r="E868" s="4"/>
      <c r="F868" s="4"/>
    </row>
    <row r="869" spans="1:6" ht="44.25" customHeight="1" x14ac:dyDescent="0.2">
      <c r="A869" s="4"/>
      <c r="B869" s="4"/>
      <c r="C869" s="4"/>
      <c r="D869" s="4"/>
      <c r="E869" s="4"/>
      <c r="F869" s="4"/>
    </row>
    <row r="870" spans="1:6" ht="44.25" customHeight="1" x14ac:dyDescent="0.2">
      <c r="A870" s="4"/>
      <c r="B870" s="4"/>
      <c r="C870" s="4"/>
      <c r="D870" s="4"/>
      <c r="E870" s="4"/>
      <c r="F870" s="4"/>
    </row>
    <row r="871" spans="1:6" ht="44.25" customHeight="1" x14ac:dyDescent="0.2">
      <c r="A871" s="4"/>
      <c r="B871" s="4"/>
      <c r="C871" s="4"/>
      <c r="D871" s="4"/>
      <c r="E871" s="4"/>
      <c r="F871" s="4"/>
    </row>
    <row r="872" spans="1:6" ht="44.25" customHeight="1" x14ac:dyDescent="0.2">
      <c r="A872" s="4"/>
      <c r="B872" s="4"/>
      <c r="C872" s="4"/>
      <c r="D872" s="4"/>
      <c r="E872" s="4"/>
      <c r="F872" s="4"/>
    </row>
    <row r="873" spans="1:6" ht="44.25" customHeight="1" x14ac:dyDescent="0.2">
      <c r="A873" s="4"/>
      <c r="B873" s="4"/>
      <c r="C873" s="4"/>
      <c r="D873" s="4"/>
      <c r="E873" s="4"/>
      <c r="F873" s="4"/>
    </row>
    <row r="874" spans="1:6" ht="44.25" customHeight="1" x14ac:dyDescent="0.2">
      <c r="A874" s="4"/>
      <c r="B874" s="4"/>
      <c r="C874" s="4"/>
      <c r="D874" s="4"/>
      <c r="E874" s="4"/>
      <c r="F874" s="4"/>
    </row>
    <row r="875" spans="1:6" ht="44.25" customHeight="1" x14ac:dyDescent="0.2">
      <c r="A875" s="4"/>
      <c r="B875" s="4"/>
      <c r="C875" s="4"/>
      <c r="D875" s="4"/>
      <c r="E875" s="4"/>
      <c r="F875" s="4"/>
    </row>
    <row r="876" spans="1:6" ht="44.25" customHeight="1" x14ac:dyDescent="0.2">
      <c r="A876" s="4"/>
      <c r="B876" s="4"/>
      <c r="C876" s="4"/>
      <c r="D876" s="4"/>
      <c r="E876" s="4"/>
      <c r="F876" s="4"/>
    </row>
    <row r="877" spans="1:6" ht="44.25" customHeight="1" x14ac:dyDescent="0.2">
      <c r="A877" s="4"/>
      <c r="B877" s="4"/>
      <c r="C877" s="4"/>
      <c r="D877" s="4"/>
      <c r="E877" s="4"/>
      <c r="F877" s="4"/>
    </row>
    <row r="878" spans="1:6" ht="44.25" customHeight="1" x14ac:dyDescent="0.2">
      <c r="A878" s="4"/>
      <c r="B878" s="4"/>
      <c r="C878" s="4"/>
      <c r="D878" s="4"/>
      <c r="E878" s="4"/>
      <c r="F878" s="4"/>
    </row>
    <row r="879" spans="1:6" ht="44.25" customHeight="1" x14ac:dyDescent="0.2">
      <c r="A879" s="4"/>
      <c r="B879" s="4"/>
      <c r="C879" s="4"/>
      <c r="D879" s="4"/>
      <c r="E879" s="4"/>
      <c r="F879" s="4"/>
    </row>
    <row r="880" spans="1:6" ht="44.25" customHeight="1" x14ac:dyDescent="0.2">
      <c r="A880" s="4"/>
      <c r="B880" s="4"/>
      <c r="C880" s="4"/>
      <c r="D880" s="4"/>
      <c r="E880" s="4"/>
      <c r="F880" s="4"/>
    </row>
    <row r="881" spans="1:6" ht="44.25" customHeight="1" x14ac:dyDescent="0.2">
      <c r="A881" s="4"/>
      <c r="B881" s="4"/>
      <c r="C881" s="4"/>
      <c r="D881" s="4"/>
      <c r="E881" s="4"/>
      <c r="F881" s="4"/>
    </row>
    <row r="882" spans="1:6" ht="44.25" customHeight="1" x14ac:dyDescent="0.2">
      <c r="A882" s="4"/>
      <c r="B882" s="4"/>
      <c r="C882" s="4"/>
      <c r="D882" s="4"/>
      <c r="E882" s="4"/>
      <c r="F882" s="4"/>
    </row>
    <row r="883" spans="1:6" ht="44.25" customHeight="1" x14ac:dyDescent="0.2">
      <c r="A883" s="4"/>
      <c r="B883" s="4"/>
      <c r="C883" s="4"/>
      <c r="D883" s="4"/>
      <c r="E883" s="4"/>
      <c r="F883" s="4"/>
    </row>
    <row r="884" spans="1:6" ht="44.25" customHeight="1" x14ac:dyDescent="0.2">
      <c r="A884" s="4"/>
      <c r="B884" s="4"/>
      <c r="C884" s="4"/>
      <c r="D884" s="4"/>
      <c r="E884" s="4"/>
      <c r="F884" s="4"/>
    </row>
    <row r="885" spans="1:6" ht="44.25" customHeight="1" x14ac:dyDescent="0.2">
      <c r="A885" s="4"/>
      <c r="B885" s="4"/>
      <c r="C885" s="4"/>
      <c r="D885" s="4"/>
      <c r="E885" s="4"/>
      <c r="F885" s="4"/>
    </row>
    <row r="886" spans="1:6" ht="44.25" customHeight="1" x14ac:dyDescent="0.2">
      <c r="A886" s="4"/>
      <c r="B886" s="4"/>
      <c r="C886" s="4"/>
      <c r="D886" s="4"/>
      <c r="E886" s="4"/>
      <c r="F886" s="4"/>
    </row>
    <row r="887" spans="1:6" ht="44.25" customHeight="1" x14ac:dyDescent="0.2">
      <c r="A887" s="4"/>
      <c r="B887" s="4"/>
      <c r="C887" s="4"/>
      <c r="D887" s="4"/>
      <c r="E887" s="4"/>
      <c r="F887" s="4"/>
    </row>
    <row r="888" spans="1:6" ht="44.25" customHeight="1" x14ac:dyDescent="0.2">
      <c r="A888" s="4"/>
      <c r="B888" s="4"/>
      <c r="C888" s="4"/>
      <c r="D888" s="4"/>
      <c r="E888" s="4"/>
      <c r="F888" s="4"/>
    </row>
    <row r="889" spans="1:6" ht="44.25" customHeight="1" x14ac:dyDescent="0.2">
      <c r="A889" s="4"/>
      <c r="B889" s="4"/>
      <c r="C889" s="4"/>
      <c r="D889" s="4"/>
      <c r="E889" s="4"/>
      <c r="F889" s="4"/>
    </row>
    <row r="890" spans="1:6" ht="44.25" customHeight="1" x14ac:dyDescent="0.2">
      <c r="A890" s="4"/>
      <c r="B890" s="4"/>
      <c r="C890" s="4"/>
      <c r="D890" s="4"/>
      <c r="E890" s="4"/>
      <c r="F890" s="4"/>
    </row>
    <row r="891" spans="1:6" ht="44.25" customHeight="1" x14ac:dyDescent="0.2">
      <c r="A891" s="4"/>
      <c r="B891" s="4"/>
      <c r="C891" s="4"/>
      <c r="D891" s="4"/>
      <c r="E891" s="4"/>
      <c r="F891" s="4"/>
    </row>
    <row r="892" spans="1:6" ht="44.25" customHeight="1" x14ac:dyDescent="0.2">
      <c r="A892" s="4"/>
      <c r="B892" s="4"/>
      <c r="C892" s="4"/>
      <c r="D892" s="4"/>
      <c r="E892" s="4"/>
      <c r="F892" s="4"/>
    </row>
    <row r="893" spans="1:6" ht="44.25" customHeight="1" x14ac:dyDescent="0.2">
      <c r="A893" s="4"/>
      <c r="B893" s="4"/>
      <c r="C893" s="4"/>
      <c r="D893" s="4"/>
      <c r="E893" s="4"/>
      <c r="F893" s="4"/>
    </row>
    <row r="894" spans="1:6" ht="44.25" customHeight="1" x14ac:dyDescent="0.2">
      <c r="A894" s="4"/>
      <c r="B894" s="4"/>
      <c r="C894" s="4"/>
      <c r="D894" s="4"/>
      <c r="E894" s="4"/>
      <c r="F894" s="4"/>
    </row>
    <row r="895" spans="1:6" ht="44.25" customHeight="1" x14ac:dyDescent="0.2">
      <c r="A895" s="4"/>
      <c r="B895" s="4"/>
      <c r="C895" s="4"/>
      <c r="D895" s="4"/>
      <c r="E895" s="4"/>
      <c r="F895" s="4"/>
    </row>
    <row r="896" spans="1:6" ht="44.25" customHeight="1" x14ac:dyDescent="0.2">
      <c r="A896" s="4"/>
      <c r="B896" s="4"/>
      <c r="C896" s="4"/>
      <c r="D896" s="4"/>
      <c r="E896" s="4"/>
      <c r="F896" s="4"/>
    </row>
    <row r="897" spans="1:6" ht="44.25" customHeight="1" x14ac:dyDescent="0.2">
      <c r="A897" s="4"/>
      <c r="B897" s="4"/>
      <c r="C897" s="4"/>
      <c r="D897" s="4"/>
      <c r="E897" s="4"/>
      <c r="F897" s="4"/>
    </row>
    <row r="898" spans="1:6" ht="44.25" customHeight="1" x14ac:dyDescent="0.2">
      <c r="A898" s="4"/>
      <c r="B898" s="4"/>
      <c r="C898" s="4"/>
      <c r="D898" s="4"/>
      <c r="E898" s="4"/>
      <c r="F898" s="4"/>
    </row>
    <row r="899" spans="1:6" ht="44.25" customHeight="1" x14ac:dyDescent="0.2">
      <c r="A899" s="4"/>
      <c r="B899" s="4"/>
      <c r="C899" s="4"/>
      <c r="D899" s="4"/>
      <c r="E899" s="4"/>
      <c r="F899" s="4"/>
    </row>
    <row r="900" spans="1:6" ht="44.25" customHeight="1" x14ac:dyDescent="0.2">
      <c r="A900" s="4"/>
      <c r="B900" s="4"/>
      <c r="C900" s="4"/>
      <c r="D900" s="4"/>
      <c r="E900" s="4"/>
      <c r="F900" s="4"/>
    </row>
    <row r="901" spans="1:6" ht="44.25" customHeight="1" x14ac:dyDescent="0.2">
      <c r="A901" s="4"/>
      <c r="B901" s="4"/>
      <c r="C901" s="4"/>
      <c r="D901" s="4"/>
      <c r="E901" s="4"/>
      <c r="F901" s="4"/>
    </row>
    <row r="902" spans="1:6" ht="44.25" customHeight="1" x14ac:dyDescent="0.2">
      <c r="A902" s="4"/>
      <c r="B902" s="4"/>
      <c r="C902" s="4"/>
      <c r="D902" s="4"/>
      <c r="E902" s="4"/>
      <c r="F902" s="4"/>
    </row>
    <row r="903" spans="1:6" ht="44.25" customHeight="1" x14ac:dyDescent="0.2">
      <c r="A903" s="4"/>
      <c r="B903" s="4"/>
      <c r="C903" s="4"/>
      <c r="D903" s="4"/>
      <c r="E903" s="4"/>
      <c r="F903" s="4"/>
    </row>
    <row r="904" spans="1:6" ht="44.25" customHeight="1" x14ac:dyDescent="0.2">
      <c r="A904" s="4"/>
      <c r="B904" s="4"/>
      <c r="C904" s="4"/>
      <c r="D904" s="4"/>
      <c r="E904" s="4"/>
      <c r="F904" s="4"/>
    </row>
    <row r="905" spans="1:6" ht="44.25" customHeight="1" x14ac:dyDescent="0.2">
      <c r="A905" s="4"/>
      <c r="B905" s="4"/>
      <c r="C905" s="4"/>
      <c r="D905" s="4"/>
      <c r="E905" s="4"/>
      <c r="F905" s="4"/>
    </row>
    <row r="906" spans="1:6" ht="44.25" customHeight="1" x14ac:dyDescent="0.2">
      <c r="A906" s="4"/>
      <c r="B906" s="4"/>
      <c r="C906" s="4"/>
      <c r="D906" s="4"/>
      <c r="E906" s="4"/>
      <c r="F906" s="4"/>
    </row>
    <row r="907" spans="1:6" ht="44.25" customHeight="1" x14ac:dyDescent="0.2">
      <c r="A907" s="4"/>
      <c r="B907" s="4"/>
      <c r="C907" s="4"/>
      <c r="D907" s="4"/>
      <c r="E907" s="4"/>
      <c r="F907" s="4"/>
    </row>
    <row r="908" spans="1:6" ht="44.25" customHeight="1" x14ac:dyDescent="0.2">
      <c r="A908" s="4"/>
      <c r="B908" s="4"/>
      <c r="C908" s="4"/>
      <c r="D908" s="4"/>
      <c r="E908" s="4"/>
      <c r="F908" s="4"/>
    </row>
    <row r="909" spans="1:6" ht="44.25" customHeight="1" x14ac:dyDescent="0.2">
      <c r="A909" s="4"/>
      <c r="B909" s="4"/>
      <c r="C909" s="4"/>
      <c r="D909" s="4"/>
      <c r="E909" s="4"/>
      <c r="F909" s="4"/>
    </row>
    <row r="910" spans="1:6" ht="44.25" customHeight="1" x14ac:dyDescent="0.2">
      <c r="A910" s="4"/>
      <c r="B910" s="4"/>
      <c r="C910" s="4"/>
      <c r="D910" s="4"/>
      <c r="E910" s="4"/>
      <c r="F910" s="4"/>
    </row>
    <row r="911" spans="1:6" ht="44.25" customHeight="1" x14ac:dyDescent="0.2">
      <c r="A911" s="4"/>
      <c r="B911" s="4"/>
      <c r="C911" s="4"/>
      <c r="D911" s="4"/>
      <c r="E911" s="4"/>
      <c r="F911" s="4"/>
    </row>
    <row r="912" spans="1:6" ht="44.25" customHeight="1" x14ac:dyDescent="0.2">
      <c r="A912" s="4"/>
      <c r="B912" s="4"/>
      <c r="C912" s="4"/>
      <c r="D912" s="4"/>
      <c r="E912" s="4"/>
      <c r="F912" s="4"/>
    </row>
    <row r="913" spans="1:6" ht="44.25" customHeight="1" x14ac:dyDescent="0.2">
      <c r="A913" s="4"/>
      <c r="B913" s="4"/>
      <c r="C913" s="4"/>
      <c r="D913" s="4"/>
      <c r="E913" s="4"/>
      <c r="F913" s="4"/>
    </row>
    <row r="914" spans="1:6" ht="44.25" customHeight="1" x14ac:dyDescent="0.2">
      <c r="A914" s="4"/>
      <c r="B914" s="4"/>
      <c r="C914" s="4"/>
      <c r="D914" s="4"/>
      <c r="E914" s="4"/>
      <c r="F914" s="4"/>
    </row>
    <row r="915" spans="1:6" ht="44.25" customHeight="1" x14ac:dyDescent="0.2">
      <c r="A915" s="4"/>
      <c r="B915" s="4"/>
      <c r="C915" s="4"/>
      <c r="D915" s="4"/>
      <c r="E915" s="4"/>
      <c r="F915" s="4"/>
    </row>
    <row r="916" spans="1:6" ht="44.25" customHeight="1" x14ac:dyDescent="0.2">
      <c r="A916" s="4"/>
      <c r="B916" s="4"/>
      <c r="C916" s="4"/>
      <c r="D916" s="4"/>
      <c r="E916" s="4"/>
      <c r="F916" s="4"/>
    </row>
    <row r="917" spans="1:6" ht="44.25" customHeight="1" x14ac:dyDescent="0.2">
      <c r="A917" s="4"/>
      <c r="B917" s="4"/>
      <c r="C917" s="4"/>
      <c r="D917" s="4"/>
      <c r="E917" s="4"/>
      <c r="F917" s="4"/>
    </row>
    <row r="918" spans="1:6" ht="44.25" customHeight="1" x14ac:dyDescent="0.2">
      <c r="A918" s="4"/>
      <c r="B918" s="4"/>
      <c r="C918" s="4"/>
      <c r="D918" s="4"/>
      <c r="E918" s="4"/>
      <c r="F918" s="4"/>
    </row>
    <row r="919" spans="1:6" ht="44.25" customHeight="1" x14ac:dyDescent="0.2">
      <c r="A919" s="4"/>
      <c r="B919" s="4"/>
      <c r="C919" s="4"/>
      <c r="D919" s="4"/>
      <c r="E919" s="4"/>
      <c r="F919" s="4"/>
    </row>
    <row r="920" spans="1:6" ht="44.25" customHeight="1" x14ac:dyDescent="0.2">
      <c r="A920" s="4"/>
      <c r="B920" s="4"/>
      <c r="C920" s="4"/>
      <c r="D920" s="4"/>
      <c r="E920" s="4"/>
      <c r="F920" s="4"/>
    </row>
    <row r="921" spans="1:6" ht="44.25" customHeight="1" x14ac:dyDescent="0.2">
      <c r="A921" s="4"/>
      <c r="B921" s="4"/>
      <c r="C921" s="4"/>
      <c r="D921" s="4"/>
      <c r="E921" s="4"/>
      <c r="F921" s="4"/>
    </row>
    <row r="922" spans="1:6" ht="44.25" customHeight="1" x14ac:dyDescent="0.2">
      <c r="A922" s="4"/>
      <c r="B922" s="4"/>
      <c r="C922" s="4"/>
      <c r="D922" s="4"/>
      <c r="E922" s="4"/>
      <c r="F922" s="4"/>
    </row>
    <row r="923" spans="1:6" ht="44.25" customHeight="1" x14ac:dyDescent="0.2">
      <c r="A923" s="4"/>
      <c r="B923" s="4"/>
      <c r="C923" s="4"/>
      <c r="D923" s="4"/>
      <c r="E923" s="4"/>
      <c r="F923" s="4"/>
    </row>
    <row r="924" spans="1:6" ht="44.25" customHeight="1" x14ac:dyDescent="0.2">
      <c r="A924" s="4"/>
      <c r="B924" s="4"/>
      <c r="C924" s="4"/>
      <c r="D924" s="4"/>
      <c r="E924" s="4"/>
      <c r="F924" s="4"/>
    </row>
    <row r="925" spans="1:6" ht="44.25" customHeight="1" x14ac:dyDescent="0.2">
      <c r="A925" s="4"/>
      <c r="B925" s="4"/>
      <c r="C925" s="4"/>
      <c r="D925" s="4"/>
      <c r="E925" s="4"/>
      <c r="F925" s="4"/>
    </row>
    <row r="926" spans="1:6" ht="44.25" customHeight="1" x14ac:dyDescent="0.2">
      <c r="A926" s="4"/>
      <c r="B926" s="4"/>
      <c r="C926" s="4"/>
      <c r="D926" s="4"/>
      <c r="E926" s="4"/>
      <c r="F926" s="4"/>
    </row>
    <row r="927" spans="1:6" ht="44.25" customHeight="1" x14ac:dyDescent="0.2">
      <c r="A927" s="4"/>
      <c r="B927" s="4"/>
      <c r="C927" s="4"/>
      <c r="D927" s="4"/>
      <c r="E927" s="4"/>
      <c r="F927" s="4"/>
    </row>
    <row r="928" spans="1:6" ht="44.25" customHeight="1" x14ac:dyDescent="0.2">
      <c r="A928" s="4"/>
      <c r="B928" s="4"/>
      <c r="C928" s="4"/>
      <c r="D928" s="4"/>
      <c r="E928" s="4"/>
      <c r="F928" s="4"/>
    </row>
    <row r="929" spans="1:6" ht="44.25" customHeight="1" x14ac:dyDescent="0.2">
      <c r="A929" s="4"/>
      <c r="B929" s="4"/>
      <c r="C929" s="4"/>
      <c r="D929" s="4"/>
      <c r="E929" s="4"/>
      <c r="F929" s="4"/>
    </row>
    <row r="930" spans="1:6" ht="44.25" customHeight="1" x14ac:dyDescent="0.2">
      <c r="A930" s="4"/>
      <c r="B930" s="4"/>
      <c r="C930" s="4"/>
      <c r="D930" s="4"/>
      <c r="E930" s="4"/>
      <c r="F930" s="4"/>
    </row>
    <row r="931" spans="1:6" ht="44.25" customHeight="1" x14ac:dyDescent="0.2">
      <c r="A931" s="4"/>
      <c r="B931" s="4"/>
      <c r="C931" s="4"/>
      <c r="D931" s="4"/>
      <c r="E931" s="4"/>
      <c r="F931" s="4"/>
    </row>
    <row r="932" spans="1:6" ht="44.25" customHeight="1" x14ac:dyDescent="0.2">
      <c r="A932" s="4"/>
      <c r="B932" s="4"/>
      <c r="C932" s="4"/>
      <c r="D932" s="4"/>
      <c r="E932" s="4"/>
      <c r="F932" s="4"/>
    </row>
    <row r="933" spans="1:6" ht="44.25" customHeight="1" x14ac:dyDescent="0.2">
      <c r="A933" s="4"/>
      <c r="B933" s="4"/>
      <c r="C933" s="4"/>
      <c r="D933" s="4"/>
      <c r="E933" s="4"/>
      <c r="F933" s="4"/>
    </row>
    <row r="934" spans="1:6" ht="44.25" customHeight="1" x14ac:dyDescent="0.2">
      <c r="A934" s="4"/>
      <c r="B934" s="4"/>
      <c r="C934" s="4"/>
      <c r="D934" s="4"/>
      <c r="E934" s="4"/>
      <c r="F934" s="4"/>
    </row>
    <row r="935" spans="1:6" ht="44.25" customHeight="1" x14ac:dyDescent="0.2">
      <c r="A935" s="4"/>
      <c r="B935" s="4"/>
      <c r="C935" s="4"/>
      <c r="D935" s="4"/>
      <c r="E935" s="4"/>
      <c r="F935" s="4"/>
    </row>
    <row r="936" spans="1:6" ht="44.25" customHeight="1" x14ac:dyDescent="0.2">
      <c r="A936" s="4"/>
      <c r="B936" s="4"/>
      <c r="C936" s="4"/>
      <c r="D936" s="4"/>
      <c r="E936" s="4"/>
      <c r="F936" s="4"/>
    </row>
    <row r="937" spans="1:6" ht="44.25" customHeight="1" x14ac:dyDescent="0.2">
      <c r="A937" s="4"/>
      <c r="B937" s="4"/>
      <c r="C937" s="4"/>
      <c r="D937" s="4"/>
      <c r="E937" s="4"/>
      <c r="F937" s="4"/>
    </row>
    <row r="938" spans="1:6" ht="44.25" customHeight="1" x14ac:dyDescent="0.2">
      <c r="A938" s="4"/>
      <c r="B938" s="4"/>
      <c r="C938" s="4"/>
      <c r="D938" s="4"/>
      <c r="E938" s="4"/>
      <c r="F938" s="4"/>
    </row>
    <row r="939" spans="1:6" ht="44.25" customHeight="1" x14ac:dyDescent="0.2">
      <c r="A939" s="4"/>
      <c r="B939" s="4"/>
      <c r="C939" s="4"/>
      <c r="D939" s="4"/>
      <c r="E939" s="4"/>
      <c r="F939" s="4"/>
    </row>
    <row r="940" spans="1:6" ht="44.25" customHeight="1" x14ac:dyDescent="0.2">
      <c r="A940" s="4"/>
      <c r="B940" s="4"/>
      <c r="C940" s="4"/>
      <c r="D940" s="4"/>
      <c r="E940" s="4"/>
      <c r="F940" s="4"/>
    </row>
    <row r="941" spans="1:6" ht="44.25" customHeight="1" x14ac:dyDescent="0.2">
      <c r="A941" s="4"/>
      <c r="B941" s="4"/>
      <c r="C941" s="4"/>
      <c r="D941" s="4"/>
      <c r="E941" s="4"/>
      <c r="F941" s="4"/>
    </row>
    <row r="942" spans="1:6" ht="44.25" customHeight="1" x14ac:dyDescent="0.2">
      <c r="A942" s="4"/>
      <c r="B942" s="4"/>
      <c r="C942" s="4"/>
      <c r="D942" s="4"/>
      <c r="E942" s="4"/>
      <c r="F942" s="4"/>
    </row>
    <row r="943" spans="1:6" ht="44.25" customHeight="1" x14ac:dyDescent="0.2">
      <c r="A943" s="4"/>
      <c r="B943" s="4"/>
      <c r="C943" s="4"/>
      <c r="D943" s="4"/>
      <c r="E943" s="4"/>
      <c r="F943" s="4"/>
    </row>
    <row r="944" spans="1:6" ht="44.25" customHeight="1" x14ac:dyDescent="0.2">
      <c r="A944" s="4"/>
      <c r="B944" s="4"/>
      <c r="C944" s="4"/>
      <c r="D944" s="4"/>
      <c r="E944" s="4"/>
      <c r="F944" s="4"/>
    </row>
    <row r="945" spans="1:6" ht="44.25" customHeight="1" x14ac:dyDescent="0.2">
      <c r="A945" s="4"/>
      <c r="B945" s="4"/>
      <c r="C945" s="4"/>
      <c r="D945" s="4"/>
      <c r="E945" s="4"/>
      <c r="F945" s="4"/>
    </row>
    <row r="946" spans="1:6" ht="44.25" customHeight="1" x14ac:dyDescent="0.2">
      <c r="A946" s="4"/>
      <c r="B946" s="4"/>
      <c r="C946" s="4"/>
      <c r="D946" s="4"/>
      <c r="E946" s="4"/>
      <c r="F946" s="4"/>
    </row>
    <row r="947" spans="1:6" ht="44.25" customHeight="1" x14ac:dyDescent="0.2">
      <c r="A947" s="4"/>
      <c r="B947" s="4"/>
      <c r="C947" s="4"/>
      <c r="D947" s="4"/>
      <c r="E947" s="4"/>
      <c r="F947" s="4"/>
    </row>
    <row r="948" spans="1:6" ht="44.25" customHeight="1" x14ac:dyDescent="0.2">
      <c r="A948" s="4"/>
      <c r="B948" s="4"/>
      <c r="C948" s="4"/>
      <c r="D948" s="4"/>
      <c r="E948" s="4"/>
      <c r="F948" s="4"/>
    </row>
    <row r="949" spans="1:6" ht="44.25" customHeight="1" x14ac:dyDescent="0.2">
      <c r="A949" s="4"/>
      <c r="B949" s="4"/>
      <c r="C949" s="4"/>
      <c r="D949" s="4"/>
      <c r="E949" s="4"/>
      <c r="F949" s="4"/>
    </row>
    <row r="950" spans="1:6" ht="44.25" customHeight="1" x14ac:dyDescent="0.2">
      <c r="A950" s="4"/>
      <c r="B950" s="4"/>
      <c r="C950" s="4"/>
      <c r="D950" s="4"/>
      <c r="E950" s="4"/>
      <c r="F950" s="4"/>
    </row>
    <row r="951" spans="1:6" ht="44.25" customHeight="1" x14ac:dyDescent="0.2">
      <c r="A951" s="4"/>
      <c r="B951" s="4"/>
      <c r="C951" s="4"/>
      <c r="D951" s="4"/>
      <c r="E951" s="4"/>
      <c r="F951" s="4"/>
    </row>
    <row r="952" spans="1:6" ht="44.25" customHeight="1" x14ac:dyDescent="0.2">
      <c r="A952" s="4"/>
      <c r="B952" s="4"/>
      <c r="C952" s="4"/>
      <c r="D952" s="4"/>
      <c r="E952" s="4"/>
      <c r="F952" s="4"/>
    </row>
    <row r="953" spans="1:6" ht="44.25" customHeight="1" x14ac:dyDescent="0.2">
      <c r="A953" s="4"/>
      <c r="B953" s="4"/>
      <c r="C953" s="4"/>
      <c r="D953" s="4"/>
      <c r="E953" s="4"/>
      <c r="F953" s="4"/>
    </row>
    <row r="954" spans="1:6" ht="44.25" customHeight="1" x14ac:dyDescent="0.2">
      <c r="A954" s="4"/>
      <c r="B954" s="4"/>
      <c r="C954" s="4"/>
      <c r="D954" s="4"/>
      <c r="E954" s="4"/>
      <c r="F954" s="4"/>
    </row>
    <row r="955" spans="1:6" ht="44.25" customHeight="1" x14ac:dyDescent="0.2">
      <c r="A955" s="4"/>
      <c r="B955" s="4"/>
      <c r="C955" s="4"/>
      <c r="D955" s="4"/>
      <c r="E955" s="4"/>
      <c r="F955" s="4"/>
    </row>
    <row r="956" spans="1:6" ht="44.25" customHeight="1" x14ac:dyDescent="0.2">
      <c r="A956" s="4"/>
      <c r="B956" s="4"/>
      <c r="C956" s="4"/>
      <c r="D956" s="4"/>
      <c r="E956" s="4"/>
      <c r="F956" s="4"/>
    </row>
    <row r="957" spans="1:6" ht="44.25" customHeight="1" x14ac:dyDescent="0.2">
      <c r="A957" s="4"/>
      <c r="B957" s="4"/>
      <c r="C957" s="4"/>
      <c r="D957" s="4"/>
      <c r="E957" s="4"/>
      <c r="F957" s="4"/>
    </row>
    <row r="958" spans="1:6" ht="44.25" customHeight="1" x14ac:dyDescent="0.2">
      <c r="A958" s="4"/>
      <c r="B958" s="4"/>
      <c r="C958" s="4"/>
      <c r="D958" s="4"/>
      <c r="E958" s="4"/>
      <c r="F958" s="4"/>
    </row>
    <row r="959" spans="1:6" ht="44.25" customHeight="1" x14ac:dyDescent="0.2">
      <c r="A959" s="4"/>
      <c r="B959" s="4"/>
      <c r="C959" s="4"/>
      <c r="D959" s="4"/>
      <c r="E959" s="4"/>
      <c r="F959" s="4"/>
    </row>
    <row r="960" spans="1:6" ht="44.25" customHeight="1" x14ac:dyDescent="0.2">
      <c r="A960" s="4"/>
      <c r="B960" s="4"/>
      <c r="C960" s="4"/>
      <c r="D960" s="4"/>
      <c r="E960" s="4"/>
      <c r="F960" s="4"/>
    </row>
    <row r="961" spans="1:6" ht="44.25" customHeight="1" x14ac:dyDescent="0.2">
      <c r="A961" s="4"/>
      <c r="B961" s="4"/>
      <c r="C961" s="4"/>
      <c r="D961" s="4"/>
      <c r="E961" s="4"/>
      <c r="F961" s="4"/>
    </row>
    <row r="962" spans="1:6" ht="44.25" customHeight="1" x14ac:dyDescent="0.2">
      <c r="A962" s="4"/>
      <c r="B962" s="4"/>
      <c r="C962" s="4"/>
      <c r="D962" s="4"/>
      <c r="E962" s="4"/>
      <c r="F962" s="4"/>
    </row>
    <row r="963" spans="1:6" ht="44.25" customHeight="1" x14ac:dyDescent="0.2">
      <c r="A963" s="4"/>
      <c r="B963" s="4"/>
      <c r="C963" s="4"/>
      <c r="D963" s="4"/>
      <c r="E963" s="4"/>
      <c r="F963" s="4"/>
    </row>
    <row r="964" spans="1:6" ht="44.25" customHeight="1" x14ac:dyDescent="0.2">
      <c r="A964" s="4"/>
      <c r="B964" s="4"/>
      <c r="C964" s="4"/>
      <c r="D964" s="4"/>
      <c r="E964" s="4"/>
      <c r="F964" s="4"/>
    </row>
    <row r="965" spans="1:6" ht="44.25" customHeight="1" x14ac:dyDescent="0.2">
      <c r="A965" s="4"/>
      <c r="B965" s="4"/>
      <c r="C965" s="4"/>
      <c r="D965" s="4"/>
      <c r="E965" s="4"/>
      <c r="F965" s="4"/>
    </row>
    <row r="966" spans="1:6" ht="44.25" customHeight="1" x14ac:dyDescent="0.2">
      <c r="A966" s="4"/>
      <c r="B966" s="4"/>
      <c r="C966" s="4"/>
      <c r="D966" s="4"/>
      <c r="E966" s="4"/>
      <c r="F966" s="4"/>
    </row>
    <row r="967" spans="1:6" ht="44.25" customHeight="1" x14ac:dyDescent="0.2">
      <c r="A967" s="4"/>
      <c r="B967" s="4"/>
      <c r="C967" s="4"/>
      <c r="D967" s="4"/>
      <c r="E967" s="4"/>
      <c r="F967" s="4"/>
    </row>
    <row r="968" spans="1:6" ht="44.25" customHeight="1" x14ac:dyDescent="0.2">
      <c r="A968" s="4"/>
      <c r="B968" s="4"/>
      <c r="C968" s="4"/>
      <c r="D968" s="4"/>
      <c r="E968" s="4"/>
      <c r="F968" s="4"/>
    </row>
    <row r="969" spans="1:6" ht="44.25" customHeight="1" x14ac:dyDescent="0.2">
      <c r="A969" s="4"/>
      <c r="B969" s="4"/>
      <c r="C969" s="4"/>
      <c r="D969" s="4"/>
      <c r="E969" s="4"/>
      <c r="F969" s="4"/>
    </row>
    <row r="970" spans="1:6" ht="44.25" customHeight="1" x14ac:dyDescent="0.2">
      <c r="A970" s="4"/>
      <c r="B970" s="4"/>
      <c r="C970" s="4"/>
      <c r="D970" s="4"/>
      <c r="E970" s="4"/>
      <c r="F970" s="4"/>
    </row>
    <row r="971" spans="1:6" ht="44.25" customHeight="1" x14ac:dyDescent="0.2">
      <c r="A971" s="4"/>
      <c r="B971" s="4"/>
      <c r="C971" s="4"/>
      <c r="D971" s="4"/>
      <c r="E971" s="4"/>
      <c r="F971" s="4"/>
    </row>
    <row r="972" spans="1:6" ht="44.25" customHeight="1" x14ac:dyDescent="0.2">
      <c r="A972" s="4"/>
      <c r="B972" s="4"/>
      <c r="C972" s="4"/>
      <c r="D972" s="4"/>
      <c r="E972" s="4"/>
      <c r="F972" s="4"/>
    </row>
    <row r="973" spans="1:6" ht="44.25" customHeight="1" x14ac:dyDescent="0.2">
      <c r="A973" s="4"/>
      <c r="B973" s="4"/>
      <c r="C973" s="4"/>
      <c r="D973" s="4"/>
      <c r="E973" s="4"/>
      <c r="F973" s="4"/>
    </row>
    <row r="974" spans="1:6" ht="44.25" customHeight="1" x14ac:dyDescent="0.2">
      <c r="A974" s="4"/>
      <c r="B974" s="4"/>
      <c r="C974" s="4"/>
      <c r="D974" s="4"/>
      <c r="E974" s="4"/>
      <c r="F974" s="4"/>
    </row>
    <row r="975" spans="1:6" ht="44.25" customHeight="1" x14ac:dyDescent="0.2">
      <c r="A975" s="4"/>
      <c r="B975" s="4"/>
      <c r="C975" s="4"/>
      <c r="D975" s="4"/>
      <c r="E975" s="4"/>
      <c r="F975" s="4"/>
    </row>
    <row r="976" spans="1:6" ht="44.25" customHeight="1" x14ac:dyDescent="0.2">
      <c r="A976" s="4"/>
      <c r="B976" s="4"/>
      <c r="C976" s="4"/>
      <c r="D976" s="4"/>
      <c r="E976" s="4"/>
      <c r="F976" s="4"/>
    </row>
    <row r="977" spans="1:6" ht="44.25" customHeight="1" x14ac:dyDescent="0.2">
      <c r="A977" s="4"/>
      <c r="B977" s="4"/>
      <c r="C977" s="4"/>
      <c r="D977" s="4"/>
      <c r="E977" s="4"/>
      <c r="F977" s="4"/>
    </row>
    <row r="978" spans="1:6" ht="44.25" customHeight="1" x14ac:dyDescent="0.2">
      <c r="A978" s="4"/>
      <c r="B978" s="4"/>
      <c r="C978" s="4"/>
      <c r="D978" s="4"/>
      <c r="E978" s="4"/>
      <c r="F978" s="4"/>
    </row>
    <row r="979" spans="1:6" ht="44.25" customHeight="1" x14ac:dyDescent="0.2">
      <c r="A979" s="4"/>
      <c r="B979" s="4"/>
      <c r="C979" s="4"/>
      <c r="D979" s="4"/>
      <c r="E979" s="4"/>
      <c r="F979" s="4"/>
    </row>
    <row r="980" spans="1:6" ht="44.25" customHeight="1" x14ac:dyDescent="0.2">
      <c r="A980" s="4"/>
      <c r="B980" s="4"/>
      <c r="C980" s="4"/>
      <c r="D980" s="4"/>
      <c r="E980" s="4"/>
      <c r="F980" s="4"/>
    </row>
    <row r="981" spans="1:6" ht="44.25" customHeight="1" x14ac:dyDescent="0.2">
      <c r="A981" s="4"/>
      <c r="B981" s="4"/>
      <c r="C981" s="4"/>
      <c r="D981" s="4"/>
      <c r="E981" s="4"/>
      <c r="F981" s="4"/>
    </row>
    <row r="982" spans="1:6" ht="44.25" customHeight="1" x14ac:dyDescent="0.2">
      <c r="A982" s="4"/>
      <c r="B982" s="4"/>
      <c r="C982" s="4"/>
      <c r="D982" s="4"/>
      <c r="E982" s="4"/>
      <c r="F982" s="4"/>
    </row>
    <row r="983" spans="1:6" ht="44.25" customHeight="1" x14ac:dyDescent="0.2">
      <c r="A983" s="4"/>
      <c r="B983" s="4"/>
      <c r="C983" s="4"/>
      <c r="D983" s="4"/>
      <c r="E983" s="4"/>
      <c r="F983" s="4"/>
    </row>
    <row r="984" spans="1:6" ht="44.25" customHeight="1" x14ac:dyDescent="0.2">
      <c r="A984" s="4"/>
      <c r="B984" s="4"/>
      <c r="C984" s="4"/>
      <c r="D984" s="4"/>
      <c r="E984" s="4"/>
      <c r="F984" s="4"/>
    </row>
    <row r="985" spans="1:6" ht="44.25" customHeight="1" x14ac:dyDescent="0.2">
      <c r="A985" s="4"/>
      <c r="B985" s="4"/>
      <c r="C985" s="4"/>
      <c r="D985" s="4"/>
      <c r="E985" s="4"/>
      <c r="F985" s="4"/>
    </row>
    <row r="986" spans="1:6" ht="44.25" customHeight="1" x14ac:dyDescent="0.2">
      <c r="A986" s="4"/>
      <c r="B986" s="4"/>
      <c r="C986" s="4"/>
      <c r="D986" s="4"/>
      <c r="E986" s="4"/>
      <c r="F986" s="4"/>
    </row>
    <row r="987" spans="1:6" ht="44.25" customHeight="1" x14ac:dyDescent="0.2">
      <c r="A987" s="4"/>
      <c r="B987" s="4"/>
      <c r="C987" s="4"/>
      <c r="D987" s="4"/>
      <c r="E987" s="4"/>
      <c r="F987" s="4"/>
    </row>
    <row r="988" spans="1:6" ht="44.25" customHeight="1" x14ac:dyDescent="0.2">
      <c r="A988" s="4"/>
      <c r="B988" s="4"/>
      <c r="C988" s="4"/>
      <c r="D988" s="4"/>
      <c r="E988" s="4"/>
      <c r="F988" s="4"/>
    </row>
    <row r="989" spans="1:6" ht="44.25" customHeight="1" x14ac:dyDescent="0.2">
      <c r="A989" s="4"/>
      <c r="B989" s="4"/>
      <c r="C989" s="4"/>
      <c r="D989" s="4"/>
      <c r="E989" s="4"/>
      <c r="F989" s="4"/>
    </row>
    <row r="990" spans="1:6" ht="44.25" customHeight="1" x14ac:dyDescent="0.2">
      <c r="A990" s="4"/>
      <c r="B990" s="4"/>
      <c r="C990" s="4"/>
      <c r="D990" s="4"/>
      <c r="E990" s="4"/>
      <c r="F990" s="4"/>
    </row>
    <row r="991" spans="1:6" ht="44.25" customHeight="1" x14ac:dyDescent="0.2">
      <c r="A991" s="4"/>
      <c r="B991" s="4"/>
      <c r="C991" s="4"/>
      <c r="D991" s="4"/>
      <c r="E991" s="4"/>
      <c r="F991" s="4"/>
    </row>
    <row r="992" spans="1:6" ht="44.25" customHeight="1" x14ac:dyDescent="0.2">
      <c r="A992" s="4"/>
      <c r="B992" s="4"/>
      <c r="C992" s="4"/>
      <c r="D992" s="4"/>
      <c r="E992" s="4"/>
      <c r="F992" s="4"/>
    </row>
    <row r="993" spans="1:6" ht="44.25" customHeight="1" x14ac:dyDescent="0.2">
      <c r="A993" s="4"/>
      <c r="B993" s="4"/>
      <c r="C993" s="4"/>
      <c r="D993" s="4"/>
      <c r="E993" s="4"/>
      <c r="F993" s="4"/>
    </row>
    <row r="994" spans="1:6" ht="44.25" customHeight="1" x14ac:dyDescent="0.2">
      <c r="A994" s="4"/>
      <c r="B994" s="4"/>
      <c r="C994" s="4"/>
      <c r="D994" s="4"/>
      <c r="E994" s="4"/>
      <c r="F994" s="4"/>
    </row>
    <row r="995" spans="1:6" ht="44.25" customHeight="1" x14ac:dyDescent="0.2">
      <c r="A995" s="4"/>
      <c r="B995" s="4"/>
      <c r="C995" s="4"/>
      <c r="D995" s="4"/>
      <c r="E995" s="4"/>
      <c r="F995" s="4"/>
    </row>
    <row r="996" spans="1:6" ht="44.25" customHeight="1" x14ac:dyDescent="0.2">
      <c r="A996" s="4"/>
      <c r="B996" s="4"/>
      <c r="C996" s="4"/>
      <c r="D996" s="4"/>
      <c r="E996" s="4"/>
      <c r="F996" s="4"/>
    </row>
    <row r="997" spans="1:6" ht="44.25" customHeight="1" x14ac:dyDescent="0.2">
      <c r="A997" s="4"/>
      <c r="B997" s="4"/>
      <c r="C997" s="4"/>
      <c r="D997" s="4"/>
      <c r="E997" s="4"/>
      <c r="F997" s="4"/>
    </row>
    <row r="998" spans="1:6" ht="44.25" customHeight="1" x14ac:dyDescent="0.2">
      <c r="A998" s="4"/>
      <c r="B998" s="4"/>
      <c r="C998" s="4"/>
      <c r="D998" s="4"/>
      <c r="E998" s="4"/>
      <c r="F998" s="4"/>
    </row>
    <row r="999" spans="1:6" ht="44.25" customHeight="1" x14ac:dyDescent="0.2">
      <c r="A999" s="4"/>
      <c r="B999" s="4"/>
      <c r="C999" s="4"/>
      <c r="D999" s="4"/>
      <c r="E999" s="4"/>
      <c r="F999" s="4"/>
    </row>
    <row r="1000" spans="1:6" ht="44.25" customHeight="1" x14ac:dyDescent="0.2">
      <c r="A1000" s="4"/>
      <c r="B1000" s="4"/>
      <c r="C1000" s="4"/>
      <c r="D1000" s="4"/>
      <c r="E1000" s="4"/>
      <c r="F1000" s="4"/>
    </row>
    <row r="1001" spans="1:6" ht="44.25" customHeight="1" x14ac:dyDescent="0.2">
      <c r="A1001" s="4"/>
      <c r="B1001" s="4"/>
      <c r="C1001" s="4"/>
      <c r="D1001" s="4"/>
      <c r="E1001" s="4"/>
      <c r="F1001" s="4"/>
    </row>
    <row r="1002" spans="1:6" ht="44.25" customHeight="1" x14ac:dyDescent="0.2">
      <c r="A1002" s="4"/>
      <c r="B1002" s="4"/>
      <c r="C1002" s="4"/>
      <c r="D1002" s="4"/>
      <c r="E1002" s="4"/>
      <c r="F1002" s="4"/>
    </row>
    <row r="1003" spans="1:6" ht="44.25" customHeight="1" x14ac:dyDescent="0.2">
      <c r="A1003" s="4"/>
      <c r="B1003" s="4"/>
      <c r="C1003" s="4"/>
      <c r="D1003" s="4"/>
      <c r="E1003" s="4"/>
      <c r="F1003" s="4"/>
    </row>
    <row r="1004" spans="1:6" ht="44.25" customHeight="1" x14ac:dyDescent="0.2">
      <c r="A1004" s="4"/>
      <c r="B1004" s="4"/>
      <c r="C1004" s="4"/>
      <c r="D1004" s="4"/>
      <c r="E1004" s="4"/>
      <c r="F1004" s="4"/>
    </row>
    <row r="1005" spans="1:6" ht="44.25" customHeight="1" x14ac:dyDescent="0.2">
      <c r="A1005" s="4"/>
      <c r="B1005" s="4"/>
      <c r="C1005" s="4"/>
      <c r="D1005" s="4"/>
      <c r="E1005" s="4"/>
      <c r="F1005" s="4"/>
    </row>
    <row r="1006" spans="1:6" ht="44.25" customHeight="1" x14ac:dyDescent="0.2">
      <c r="A1006" s="4"/>
      <c r="B1006" s="4"/>
      <c r="C1006" s="4"/>
      <c r="D1006" s="4"/>
      <c r="E1006" s="4"/>
      <c r="F1006" s="4"/>
    </row>
    <row r="1007" spans="1:6" ht="44.25" customHeight="1" x14ac:dyDescent="0.2">
      <c r="A1007" s="4"/>
      <c r="B1007" s="4"/>
      <c r="C1007" s="4"/>
      <c r="D1007" s="4"/>
      <c r="E1007" s="4"/>
      <c r="F1007" s="4"/>
    </row>
    <row r="1008" spans="1:6" ht="44.25" customHeight="1" x14ac:dyDescent="0.2">
      <c r="A1008" s="4"/>
      <c r="B1008" s="4"/>
      <c r="C1008" s="4"/>
      <c r="D1008" s="4"/>
      <c r="E1008" s="4"/>
      <c r="F1008" s="4"/>
    </row>
    <row r="1009" spans="1:6" ht="44.25" customHeight="1" x14ac:dyDescent="0.2">
      <c r="A1009" s="4"/>
      <c r="B1009" s="4"/>
      <c r="C1009" s="4"/>
      <c r="D1009" s="4"/>
      <c r="E1009" s="4"/>
      <c r="F1009" s="4"/>
    </row>
    <row r="1010" spans="1:6" ht="44.25" customHeight="1" x14ac:dyDescent="0.2">
      <c r="A1010" s="4"/>
      <c r="B1010" s="4"/>
      <c r="C1010" s="4"/>
      <c r="D1010" s="4"/>
      <c r="E1010" s="4"/>
      <c r="F1010" s="4"/>
    </row>
    <row r="1011" spans="1:6" ht="44.25" customHeight="1" x14ac:dyDescent="0.2">
      <c r="A1011" s="4"/>
      <c r="B1011" s="4"/>
      <c r="C1011" s="4"/>
      <c r="D1011" s="4"/>
      <c r="E1011" s="4"/>
      <c r="F1011" s="4"/>
    </row>
    <row r="1012" spans="1:6" ht="44.25" customHeight="1" x14ac:dyDescent="0.2">
      <c r="A1012" s="4"/>
      <c r="B1012" s="4"/>
      <c r="C1012" s="4"/>
      <c r="D1012" s="4"/>
      <c r="E1012" s="4"/>
      <c r="F1012" s="4"/>
    </row>
    <row r="1013" spans="1:6" ht="44.25" customHeight="1" x14ac:dyDescent="0.2">
      <c r="A1013" s="4"/>
      <c r="B1013" s="4"/>
      <c r="C1013" s="4"/>
      <c r="D1013" s="4"/>
      <c r="E1013" s="4"/>
      <c r="F1013" s="4"/>
    </row>
    <row r="1014" spans="1:6" ht="44.25" customHeight="1" x14ac:dyDescent="0.2">
      <c r="A1014" s="4"/>
      <c r="B1014" s="4"/>
      <c r="C1014" s="4"/>
      <c r="D1014" s="4"/>
      <c r="E1014" s="4"/>
      <c r="F1014" s="4"/>
    </row>
    <row r="1015" spans="1:6" ht="44.25" customHeight="1" x14ac:dyDescent="0.2">
      <c r="A1015" s="4"/>
      <c r="B1015" s="4"/>
      <c r="C1015" s="4"/>
      <c r="D1015" s="4"/>
      <c r="E1015" s="4"/>
      <c r="F1015" s="4"/>
    </row>
    <row r="1016" spans="1:6" ht="44.25" customHeight="1" x14ac:dyDescent="0.2">
      <c r="A1016" s="4"/>
      <c r="B1016" s="4"/>
      <c r="C1016" s="4"/>
      <c r="D1016" s="4"/>
      <c r="E1016" s="4"/>
      <c r="F1016" s="4"/>
    </row>
    <row r="1017" spans="1:6" ht="44.25" customHeight="1" x14ac:dyDescent="0.2">
      <c r="A1017" s="4"/>
      <c r="B1017" s="4"/>
      <c r="C1017" s="4"/>
      <c r="D1017" s="4"/>
      <c r="E1017" s="4"/>
      <c r="F1017" s="4"/>
    </row>
    <row r="1018" spans="1:6" ht="44.25" customHeight="1" x14ac:dyDescent="0.2">
      <c r="A1018" s="4"/>
      <c r="B1018" s="4"/>
      <c r="C1018" s="4"/>
      <c r="D1018" s="4"/>
      <c r="E1018" s="4"/>
      <c r="F1018" s="4"/>
    </row>
    <row r="1019" spans="1:6" ht="44.25" customHeight="1" x14ac:dyDescent="0.2">
      <c r="A1019" s="4"/>
      <c r="B1019" s="4"/>
      <c r="C1019" s="4"/>
      <c r="D1019" s="4"/>
      <c r="E1019" s="4"/>
      <c r="F1019" s="4"/>
    </row>
    <row r="1020" spans="1:6" ht="44.25" customHeight="1" x14ac:dyDescent="0.2">
      <c r="A1020" s="4"/>
      <c r="B1020" s="4"/>
      <c r="C1020" s="4"/>
      <c r="D1020" s="4"/>
      <c r="E1020" s="4"/>
      <c r="F1020" s="4"/>
    </row>
    <row r="1021" spans="1:6" ht="44.25" customHeight="1" x14ac:dyDescent="0.2">
      <c r="A1021" s="4"/>
      <c r="B1021" s="4"/>
      <c r="C1021" s="4"/>
      <c r="D1021" s="4"/>
      <c r="E1021" s="4"/>
      <c r="F1021" s="4"/>
    </row>
    <row r="1022" spans="1:6" ht="44.25" customHeight="1" x14ac:dyDescent="0.2">
      <c r="A1022" s="4"/>
      <c r="B1022" s="4"/>
      <c r="C1022" s="4"/>
      <c r="D1022" s="4"/>
      <c r="E1022" s="4"/>
      <c r="F1022" s="4"/>
    </row>
    <row r="1023" spans="1:6" ht="44.25" customHeight="1" x14ac:dyDescent="0.2">
      <c r="A1023" s="4"/>
      <c r="B1023" s="4"/>
      <c r="C1023" s="4"/>
      <c r="D1023" s="4"/>
      <c r="E1023" s="4"/>
      <c r="F1023" s="4"/>
    </row>
    <row r="1024" spans="1:6" ht="44.25" customHeight="1" x14ac:dyDescent="0.2">
      <c r="A1024" s="4"/>
      <c r="B1024" s="4"/>
      <c r="C1024" s="4"/>
      <c r="D1024" s="4"/>
      <c r="E1024" s="4"/>
      <c r="F1024" s="4"/>
    </row>
    <row r="1025" spans="1:6" ht="44.25" customHeight="1" x14ac:dyDescent="0.2">
      <c r="A1025" s="4"/>
      <c r="B1025" s="4"/>
      <c r="C1025" s="4"/>
      <c r="D1025" s="4"/>
      <c r="E1025" s="4"/>
      <c r="F1025" s="4"/>
    </row>
    <row r="1026" spans="1:6" ht="44.25" customHeight="1" x14ac:dyDescent="0.2">
      <c r="A1026" s="4"/>
      <c r="B1026" s="4"/>
      <c r="C1026" s="4"/>
      <c r="D1026" s="4"/>
      <c r="E1026" s="4"/>
      <c r="F1026" s="4"/>
    </row>
    <row r="1027" spans="1:6" ht="44.25" customHeight="1" x14ac:dyDescent="0.2">
      <c r="A1027" s="4"/>
      <c r="B1027" s="4"/>
      <c r="C1027" s="4"/>
      <c r="D1027" s="4"/>
      <c r="E1027" s="4"/>
      <c r="F1027" s="4"/>
    </row>
    <row r="1028" spans="1:6" ht="44.25" customHeight="1" x14ac:dyDescent="0.2">
      <c r="A1028" s="4"/>
      <c r="B1028" s="4"/>
      <c r="C1028" s="4"/>
      <c r="D1028" s="4"/>
      <c r="E1028" s="4"/>
      <c r="F1028" s="4"/>
    </row>
    <row r="1029" spans="1:6" ht="44.25" customHeight="1" x14ac:dyDescent="0.2">
      <c r="A1029" s="4"/>
      <c r="B1029" s="4"/>
      <c r="C1029" s="4"/>
      <c r="D1029" s="4"/>
      <c r="E1029" s="4"/>
      <c r="F1029" s="4"/>
    </row>
    <row r="1030" spans="1:6" ht="44.25" customHeight="1" x14ac:dyDescent="0.2">
      <c r="A1030" s="4"/>
      <c r="B1030" s="4"/>
      <c r="C1030" s="4"/>
      <c r="D1030" s="4"/>
      <c r="E1030" s="4"/>
      <c r="F1030" s="4"/>
    </row>
    <row r="1031" spans="1:6" ht="44.25" customHeight="1" x14ac:dyDescent="0.2">
      <c r="A1031" s="4"/>
      <c r="B1031" s="4"/>
      <c r="C1031" s="4"/>
      <c r="D1031" s="4"/>
      <c r="E1031" s="4"/>
      <c r="F1031" s="4"/>
    </row>
    <row r="1032" spans="1:6" ht="44.25" customHeight="1" x14ac:dyDescent="0.2">
      <c r="A1032" s="4"/>
      <c r="B1032" s="4"/>
      <c r="C1032" s="4"/>
      <c r="D1032" s="4"/>
      <c r="E1032" s="4"/>
      <c r="F1032" s="4"/>
    </row>
    <row r="1033" spans="1:6" ht="44.25" customHeight="1" x14ac:dyDescent="0.2">
      <c r="A1033" s="4"/>
      <c r="B1033" s="4"/>
      <c r="C1033" s="4"/>
      <c r="D1033" s="4"/>
      <c r="E1033" s="4"/>
      <c r="F1033" s="4"/>
    </row>
    <row r="1034" spans="1:6" ht="44.25" customHeight="1" x14ac:dyDescent="0.2">
      <c r="A1034" s="4"/>
      <c r="B1034" s="4"/>
      <c r="C1034" s="4"/>
      <c r="D1034" s="4"/>
      <c r="E1034" s="4"/>
      <c r="F1034" s="4"/>
    </row>
    <row r="1035" spans="1:6" ht="44.25" customHeight="1" x14ac:dyDescent="0.2">
      <c r="A1035" s="4"/>
      <c r="B1035" s="4"/>
      <c r="C1035" s="4"/>
      <c r="D1035" s="4"/>
      <c r="E1035" s="4"/>
      <c r="F1035" s="4"/>
    </row>
    <row r="1036" spans="1:6" ht="44.25" customHeight="1" x14ac:dyDescent="0.2">
      <c r="A1036" s="4"/>
      <c r="B1036" s="4"/>
      <c r="C1036" s="4"/>
      <c r="D1036" s="4"/>
      <c r="E1036" s="4"/>
      <c r="F1036" s="4"/>
    </row>
    <row r="1037" spans="1:6" ht="44.25" customHeight="1" x14ac:dyDescent="0.2">
      <c r="A1037" s="4"/>
      <c r="B1037" s="4"/>
      <c r="C1037" s="4"/>
      <c r="D1037" s="4"/>
      <c r="E1037" s="4"/>
      <c r="F103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0000"/>
    <outlinePr summaryBelow="0" summaryRight="0"/>
  </sheetPr>
  <dimension ref="A1:F1037"/>
  <sheetViews>
    <sheetView tabSelected="1" workbookViewId="0">
      <pane ySplit="1" topLeftCell="A116" activePane="bottomLeft" state="frozen"/>
      <selection pane="bottomLeft" activeCell="D4" sqref="D4"/>
    </sheetView>
  </sheetViews>
  <sheetFormatPr defaultColWidth="14.42578125" defaultRowHeight="72" customHeight="1" x14ac:dyDescent="0.2"/>
  <cols>
    <col min="1" max="1" width="31.5703125" customWidth="1"/>
    <col min="2" max="2" width="18.85546875" customWidth="1"/>
    <col min="3" max="3" width="18.5703125" customWidth="1"/>
    <col min="4" max="4" width="84" customWidth="1"/>
    <col min="5" max="5" width="26.28515625" customWidth="1"/>
  </cols>
  <sheetData>
    <row r="1" spans="1:6" ht="49.5" customHeight="1" x14ac:dyDescent="0.2">
      <c r="A1" s="2" t="s">
        <v>0</v>
      </c>
      <c r="B1" s="1" t="s">
        <v>1</v>
      </c>
      <c r="C1" s="2" t="s">
        <v>2</v>
      </c>
      <c r="D1" s="1" t="s">
        <v>4</v>
      </c>
      <c r="E1" s="1" t="s">
        <v>5</v>
      </c>
      <c r="F1" s="1" t="s">
        <v>3</v>
      </c>
    </row>
    <row r="2" spans="1:6" ht="72" customHeight="1" x14ac:dyDescent="0.2">
      <c r="A2" s="4" t="str">
        <f ca="1">IFERROR(__xludf.DUMMYFUNCTION("IMPORTRANGE(""https://docs.google.com/spreadsheets/d/1Max1SxwOvgBmOt3P7qh4ejq2WiUPU44TkMX293q2g4U/"",""Продления!B3:H946"")"),"«1С: Розница 2.2»")</f>
        <v>«1С: Розница 2.2»</v>
      </c>
      <c r="B2" s="4" t="str">
        <f ca="1">IFERROR(__xludf.DUMMYFUNCTION("""COMPUTED_VALUE"""),"МИНИМУМ")</f>
        <v>МИНИМУМ</v>
      </c>
      <c r="C2" s="4" t="str">
        <f ca="1">IFERROR(__xludf.DUMMYFUNCTION("""COMPUTED_VALUE"""),"SSY1-RTL15M-1CRZ22")</f>
        <v>SSY1-RTL15M-1CRZ22</v>
      </c>
      <c r="D2" s="4" t="str">
        <f ca="1">IFERROR(__xludf.DUMMYFUNCTION("""COMPUTED_VALUE"""),"Продление подписки на обновления Mobile SMARTS: Магазин 15, МИНИМУМ для «1С: Розница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"&amp;"просмотр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15, МИНИМУМ для «1С: Розница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" s="4" t="str">
        <f ca="1">IFERROR(__xludf.DUMMYFUNCTION("""COMPUTED_VALUE"""),"Продление подписки на обновления Mobile SMARTS: Магазин 15, МИНИМУМ для «1С: Розница 2.2», для работы с товаром по штрихкодам  на 1 (один) год")</f>
        <v>Продление подписки на обновления Mobile SMARTS: Магазин 15, МИНИМУМ для «1С: Розница 2.2», для работы с товаром по штрихкодам  на 1 (один) год</v>
      </c>
      <c r="F2" s="5">
        <f ca="1">IFERROR(__xludf.DUMMYFUNCTION("""COMPUTED_VALUE"""),690)</f>
        <v>690</v>
      </c>
    </row>
    <row r="3" spans="1:6" ht="72" customHeight="1" x14ac:dyDescent="0.2">
      <c r="A3" s="4" t="str">
        <f ca="1">IFERROR(__xludf.DUMMYFUNCTION("""COMPUTED_VALUE"""),"«1С: Розница 2.2»")</f>
        <v>«1С: Розница 2.2»</v>
      </c>
      <c r="B3" s="4" t="str">
        <f ca="1">IFERROR(__xludf.DUMMYFUNCTION("""COMPUTED_VALUE"""),"БАЗОВЫЙ")</f>
        <v>БАЗОВЫЙ</v>
      </c>
      <c r="C3" s="4" t="str">
        <f ca="1">IFERROR(__xludf.DUMMYFUNCTION("""COMPUTED_VALUE"""),"SSY1-RTL15A-1CRZ22")</f>
        <v>SSY1-RTL15A-1CRZ22</v>
      </c>
      <c r="D3" s="4" t="str">
        <f ca="1">IFERROR(__xludf.DUMMYFUNCTION("""COMPUTED_VALUE"""),"Продление подписки на обновления Mobile SMARTS: Магазин 15, БАЗОВЫЙ для «1С: Розница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Розница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" s="4" t="str">
        <f ca="1">IFERROR(__xludf.DUMMYFUNCTION("""COMPUTED_VALUE"""),"Продление подписки на обновления Mobile SMARTS: Магазин 15, БАЗОВЫЙ для «1С: Розница 2.2», для работы с товаром по штрихкодам  на 1 (один) год")</f>
        <v>Продление подписки на обновления Mobile SMARTS: Магазин 15, БАЗОВЫЙ для «1С: Розница 2.2», для работы с товаром по штрихкодам  на 1 (один) год</v>
      </c>
      <c r="F3" s="5">
        <f ca="1">IFERROR(__xludf.DUMMYFUNCTION("""COMPUTED_VALUE"""),1730)</f>
        <v>1730</v>
      </c>
    </row>
    <row r="4" spans="1:6" ht="72" customHeight="1" x14ac:dyDescent="0.2">
      <c r="A4" s="4" t="str">
        <f ca="1">IFERROR(__xludf.DUMMYFUNCTION("""COMPUTED_VALUE"""),"«1С: Розница 2.2»")</f>
        <v>«1С: Розница 2.2»</v>
      </c>
      <c r="B4" s="4" t="str">
        <f ca="1">IFERROR(__xludf.DUMMYFUNCTION("""COMPUTED_VALUE"""),"РАСШИРЕННЫЙ")</f>
        <v>РАСШИРЕННЫЙ</v>
      </c>
      <c r="C4" s="4" t="str">
        <f ca="1">IFERROR(__xludf.DUMMYFUNCTION("""COMPUTED_VALUE"""),"SSY1-RTL15B-1CRZ22")</f>
        <v>SSY1-RTL15B-1CRZ22</v>
      </c>
      <c r="D4" s="4" t="str">
        <f ca="1">IFERROR(__xludf.DUMMYFUNCTION("""COMPUTED_VALUE"""),"Продление подписки на обновления Mobile SMARTS: Магазин 15, РАСШИРЕННЫЙ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"&amp;"переоценка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" s="4" t="str">
        <f ca="1">IFERROR(__xludf.DUMMYFUNCTION("""COMPUTED_VALUE"""),"Продление подписки на обновления Mobile SMARTS: Магазин 15, РАСШИРЕННЫЙ для «1С: Розница 2.2», для работы с товаром по штрихкодам  на 1 (один) год")</f>
        <v>Продление подписки на обновления Mobile SMARTS: Магазин 15, РАСШИРЕННЫЙ для «1С: Розница 2.2», для работы с товаром по штрихкодам  на 1 (один) год</v>
      </c>
      <c r="F4" s="5">
        <f ca="1">IFERROR(__xludf.DUMMYFUNCTION("""COMPUTED_VALUE"""),3010)</f>
        <v>3010</v>
      </c>
    </row>
    <row r="5" spans="1:6" ht="72" customHeight="1" x14ac:dyDescent="0.2">
      <c r="A5" s="4" t="str">
        <f ca="1">IFERROR(__xludf.DUMMYFUNCTION("""COMPUTED_VALUE"""),"«1С: Розница 2.2»")</f>
        <v>«1С: Розница 2.2»</v>
      </c>
      <c r="B5" s="4" t="str">
        <f ca="1">IFERROR(__xludf.DUMMYFUNCTION("""COMPUTED_VALUE"""),"МЕГАМАРКЕТ")</f>
        <v>МЕГАМАРКЕТ</v>
      </c>
      <c r="C5" s="4" t="str">
        <f ca="1">IFERROR(__xludf.DUMMYFUNCTION("""COMPUTED_VALUE"""),"SSY1-RTL15C-1CRZ22")</f>
        <v>SSY1-RTL15C-1CRZ22</v>
      </c>
      <c r="D5" s="4" t="str">
        <f ca="1">IFERROR(__xludf.DUMMYFUNCTION("""COMPUTED_VALUE"""),"Продление подписки на обновления Mobile SMARTS: Магазин 15, МЕГАМАРКЕТ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п"&amp;"ереоценка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Розница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" s="4" t="str">
        <f ca="1">IFERROR(__xludf.DUMMYFUNCTION("""COMPUTED_VALUE"""),"Продление подписки на обновления Mobile SMARTS: Магазин 15, МЕГАМАРКЕТ для «1С: Розница 2.2», для работы с товаром по штрихкодам  на 1 (один) год")</f>
        <v>Продление подписки на обновления Mobile SMARTS: Магазин 15, МЕГАМАРКЕТ для «1С: Розница 2.2», для работы с товаром по штрихкодам  на 1 (один) год</v>
      </c>
      <c r="F5" s="5">
        <f ca="1">IFERROR(__xludf.DUMMYFUNCTION("""COMPUTED_VALUE"""),4310)</f>
        <v>4310</v>
      </c>
    </row>
    <row r="6" spans="1:6" ht="72" customHeight="1" x14ac:dyDescent="0.2">
      <c r="A6" s="4" t="str">
        <f ca="1">IFERROR(__xludf.DUMMYFUNCTION("""COMPUTED_VALUE"""),"«1С: Розница 2.2»")</f>
        <v>«1С: Розница 2.2»</v>
      </c>
      <c r="B6" s="4" t="str">
        <f ca="1">IFERROR(__xludf.DUMMYFUNCTION("""COMPUTED_VALUE"""),"с ЕГАИС, БАЗОВЫЙ")</f>
        <v>с ЕГАИС, БАЗОВЫЙ</v>
      </c>
      <c r="C6" s="4" t="str">
        <f ca="1">IFERROR(__xludf.DUMMYFUNCTION("""COMPUTED_VALUE"""),"SSY1-RTL15AE-1CRZ22")</f>
        <v>SSY1-RTL15AE-1CRZ22</v>
      </c>
      <c r="D6" s="4" t="str">
        <f ca="1">IFERROR(__xludf.DUMMYFUNCTION("""COMPUTED_VALUE"""),"Продление подписки на обновления Mobile SMARTS: Магазин 15 с ЕГАИС, БАЗОВЫЙ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"&amp;"принтер,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(один)"&amp;" год")</f>
        <v>Продление подписки на обновления Mobile SMARTS: Магазин 15 с ЕГАИС, БАЗОВЫЙ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6" s="4" t="str">
        <f ca="1">IFERROR(__xludf.DUMMYFUNCTION("""COMPUTED_VALUE"""),"Продление подписки на обновления Mobile SMARTS: Магазин 15 с ЕГАИС, БАЗОВЫЙ для «1С: Розница 2.2»,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Розница 2.2», для работы с маркированным товаром: алкоголь ЕГАИС и товары по штрихкодам  на 1 (один) год</v>
      </c>
      <c r="F6" s="5">
        <f ca="1">IFERROR(__xludf.DUMMYFUNCTION("""COMPUTED_VALUE"""),2200)</f>
        <v>2200</v>
      </c>
    </row>
    <row r="7" spans="1:6" ht="72" customHeight="1" x14ac:dyDescent="0.2">
      <c r="A7" s="4" t="str">
        <f ca="1">IFERROR(__xludf.DUMMYFUNCTION("""COMPUTED_VALUE"""),"«1С: Розница 2.2»")</f>
        <v>«1С: Розница 2.2»</v>
      </c>
      <c r="B7" s="4" t="str">
        <f ca="1">IFERROR(__xludf.DUMMYFUNCTION("""COMPUTED_VALUE"""),"с ЕГАИС, РАСШИРЕННЫЙ")</f>
        <v>с ЕГАИС, РАСШИРЕННЫЙ</v>
      </c>
      <c r="C7" s="4" t="str">
        <f ca="1">IFERROR(__xludf.DUMMYFUNCTION("""COMPUTED_VALUE"""),"SSY1-RTL15BE-1CRZ22")</f>
        <v>SSY1-RTL15BE-1CRZ22</v>
      </c>
      <c r="D7" s="4" t="str">
        <f ca="1">IFERROR(__xludf.DUMMYFUNCTION("""COMPUTED_VALUE"""),"Продление подписки на обновления Mobile SMARTS: Магазин 15 с ЕГАИС, РАСШИРЕННЫЙ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до"&amp;"ступные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мобиль"&amp;"ный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на"&amp;" 1 (один) год")</f>
        <v>Продление подписки на обновления Mobile SMARTS: Магазин 15 с ЕГАИС, РАСШИРЕННЫЙ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" s="4" t="str">
        <f ca="1">IFERROR(__xludf.DUMMYFUNCTION("""COMPUTED_VALUE"""),"Продление подписки на обновления Mobile SMARTS: Магазин 15 с ЕГАИС, РАСШИРЕННЫЙ для «1С: Розница 2.2»,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Розница 2.2», для работы с маркированным товаром: алкоголь ЕГАИС и товары по штрихкодам  на 1 (один) год</v>
      </c>
      <c r="F7" s="5">
        <f ca="1">IFERROR(__xludf.DUMMYFUNCTION("""COMPUTED_VALUE"""),3490)</f>
        <v>3490</v>
      </c>
    </row>
    <row r="8" spans="1:6" ht="72" customHeight="1" x14ac:dyDescent="0.2">
      <c r="A8" s="4" t="str">
        <f ca="1">IFERROR(__xludf.DUMMYFUNCTION("""COMPUTED_VALUE"""),"«1С: Розница 2.2»")</f>
        <v>«1С: Розница 2.2»</v>
      </c>
      <c r="B8" s="4" t="str">
        <f ca="1">IFERROR(__xludf.DUMMYFUNCTION("""COMPUTED_VALUE"""),"с ЕГАИС (без CheckMark2), МЕГАМАРКЕТ")</f>
        <v>с ЕГАИС (без CheckMark2), МЕГАМАРКЕТ</v>
      </c>
      <c r="C8" s="4" t="str">
        <f ca="1">IFERROR(__xludf.DUMMYFUNCTION("""COMPUTED_VALUE"""),"SSY1-RTL15CEV-1CRZ22")</f>
        <v>SSY1-RTL15CEV-1CRZ22</v>
      </c>
      <c r="D8" s="4" t="str">
        <f ca="1">IFERROR(__xludf.DUMMYFUNCTION("""COMPUTED_VALUE"""),"Продление подписки на обновления Mobile SMARTS: Магазин 15 с ЕГАИС (без CheckMark2), МЕГАМАРКЕТ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"&amp;"есть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"&amp;"коллективная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"&amp;"обновления и обмен через Интернет на 1 (один) год")</f>
        <v>Продление подписки на обновления Mobile SMARTS: Магазин 15 с ЕГАИС (без CheckMark2), МЕГАМАРКЕТ для «1С: Розница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" s="4" t="str">
        <f ca="1">IFERROR(__xludf.DUMMYFUNCTION("""COMPUTED_VALUE"""),"Продление подписки на обновления Mobile SMARTS: Магазин 15 с ЕГАИС (без CheckMark2), МЕГАМАРКЕТ для «1С: Розница 2.2»,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Розница 2.2», для работы с маркированным товаром: алкоголь ЕГАИС и товары по штрихкодам  на 1 (один) год</v>
      </c>
      <c r="F8" s="5">
        <f ca="1">IFERROR(__xludf.DUMMYFUNCTION("""COMPUTED_VALUE"""),4770)</f>
        <v>4770</v>
      </c>
    </row>
    <row r="9" spans="1:6" ht="72" customHeight="1" x14ac:dyDescent="0.2">
      <c r="A9" s="4" t="str">
        <f ca="1">IFERROR(__xludf.DUMMYFUNCTION("""COMPUTED_VALUE"""),"«1С: Розница 2.3»")</f>
        <v>«1С: Розница 2.3»</v>
      </c>
      <c r="B9" s="4" t="str">
        <f ca="1">IFERROR(__xludf.DUMMYFUNCTION("""COMPUTED_VALUE"""),"МИНИМУМ")</f>
        <v>МИНИМУМ</v>
      </c>
      <c r="C9" s="4" t="str">
        <f ca="1">IFERROR(__xludf.DUMMYFUNCTION("""COMPUTED_VALUE"""),"SSY1-RTL15M-1CRZ23")</f>
        <v>SSY1-RTL15M-1CRZ23</v>
      </c>
      <c r="D9" s="4" t="str">
        <f ca="1">IFERROR(__xludf.DUMMYFUNCTION("""COMPUTED_VALUE"""),"Продление подписки на обновления Mobile SMARTS: Магазин 15, МИНИМУМ для «1С: Розница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"&amp;"просмотр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15, МИНИМУМ для «1С: Розница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" s="4" t="str">
        <f ca="1">IFERROR(__xludf.DUMMYFUNCTION("""COMPUTED_VALUE"""),"Продление подписки на обновления Mobile SMARTS: Магазин 15, МИНИМУМ для «1С: Розница 2.3», для работы с товаром по штрихкодам  на 1 (один) год")</f>
        <v>Продление подписки на обновления Mobile SMARTS: Магазин 15, МИНИМУМ для «1С: Розница 2.3», для работы с товаром по штрихкодам  на 1 (один) год</v>
      </c>
      <c r="F9" s="5">
        <f ca="1">IFERROR(__xludf.DUMMYFUNCTION("""COMPUTED_VALUE"""),690)</f>
        <v>690</v>
      </c>
    </row>
    <row r="10" spans="1:6" ht="72" customHeight="1" x14ac:dyDescent="0.2">
      <c r="A10" s="4" t="str">
        <f ca="1">IFERROR(__xludf.DUMMYFUNCTION("""COMPUTED_VALUE"""),"«1С: Розница 2.3»")</f>
        <v>«1С: Розница 2.3»</v>
      </c>
      <c r="B10" s="4" t="str">
        <f ca="1">IFERROR(__xludf.DUMMYFUNCTION("""COMPUTED_VALUE"""),"БАЗОВЫЙ")</f>
        <v>БАЗОВЫЙ</v>
      </c>
      <c r="C10" s="4" t="str">
        <f ca="1">IFERROR(__xludf.DUMMYFUNCTION("""COMPUTED_VALUE"""),"SSY1-RTL15A-1CRZ23")</f>
        <v>SSY1-RTL15A-1CRZ23</v>
      </c>
      <c r="D10" s="4" t="str">
        <f ca="1">IFERROR(__xludf.DUMMYFUNCTION("""COMPUTED_VALUE"""),"Продление подписки на обновления Mobile SMARTS: Магазин 15, БАЗОВЫЙ для «1С: Розница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изм"&amp;"енение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Розница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" s="4" t="str">
        <f ca="1">IFERROR(__xludf.DUMMYFUNCTION("""COMPUTED_VALUE"""),"Продление подписки на обновления Mobile SMARTS: Магазин 15, БАЗОВЫЙ для «1С: Розница 2.3», для работы с товаром по штрихкодам  на 1 (один) год")</f>
        <v>Продление подписки на обновления Mobile SMARTS: Магазин 15, БАЗОВЫЙ для «1С: Розница 2.3», для работы с товаром по штрихкодам  на 1 (один) год</v>
      </c>
      <c r="F10" s="5">
        <f ca="1">IFERROR(__xludf.DUMMYFUNCTION("""COMPUTED_VALUE"""),1730)</f>
        <v>1730</v>
      </c>
    </row>
    <row r="11" spans="1:6" ht="72" customHeight="1" x14ac:dyDescent="0.2">
      <c r="A11" s="4" t="str">
        <f ca="1">IFERROR(__xludf.DUMMYFUNCTION("""COMPUTED_VALUE"""),"«1С: Розница 2.3»")</f>
        <v>«1С: Розница 2.3»</v>
      </c>
      <c r="B11" s="4" t="str">
        <f ca="1">IFERROR(__xludf.DUMMYFUNCTION("""COMPUTED_VALUE"""),"РАСШИРЕННЫЙ")</f>
        <v>РАСШИРЕННЫЙ</v>
      </c>
      <c r="C11" s="4" t="str">
        <f ca="1">IFERROR(__xludf.DUMMYFUNCTION("""COMPUTED_VALUE"""),"SSY1-RTL15B-1CRZ23")</f>
        <v>SSY1-RTL15B-1CRZ23</v>
      </c>
      <c r="D11" s="4" t="str">
        <f ca="1">IFERROR(__xludf.DUMMYFUNCTION("""COMPUTED_VALUE"""),"Продление подписки на обновления Mobile SMARTS: Магазин 15, РАСШИРЕННЫЙ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"&amp;"переоценка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/"&amp;"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" s="4" t="str">
        <f ca="1">IFERROR(__xludf.DUMMYFUNCTION("""COMPUTED_VALUE"""),"Продление подписки на обновления Mobile SMARTS: Магазин 15, РАСШИРЕННЫЙ для «1С: Розница 2.3», для работы с товаром по штрихкодам  на 1 (один) год")</f>
        <v>Продление подписки на обновления Mobile SMARTS: Магазин 15, РАСШИРЕННЫЙ для «1С: Розница 2.3», для работы с товаром по штрихкодам  на 1 (один) год</v>
      </c>
      <c r="F11" s="5">
        <f ca="1">IFERROR(__xludf.DUMMYFUNCTION("""COMPUTED_VALUE"""),3010)</f>
        <v>3010</v>
      </c>
    </row>
    <row r="12" spans="1:6" ht="72" customHeight="1" x14ac:dyDescent="0.2">
      <c r="A12" s="4" t="str">
        <f ca="1">IFERROR(__xludf.DUMMYFUNCTION("""COMPUTED_VALUE"""),"«1С: Розница 2.3»")</f>
        <v>«1С: Розница 2.3»</v>
      </c>
      <c r="B12" s="4" t="str">
        <f ca="1">IFERROR(__xludf.DUMMYFUNCTION("""COMPUTED_VALUE"""),"МЕГАМАРКЕТ")</f>
        <v>МЕГАМАРКЕТ</v>
      </c>
      <c r="C12" s="4" t="str">
        <f ca="1">IFERROR(__xludf.DUMMYFUNCTION("""COMPUTED_VALUE"""),"SSY1-RTL15C-1CRZ23")</f>
        <v>SSY1-RTL15C-1CRZ23</v>
      </c>
      <c r="D12" s="4" t="str">
        <f ca="1">IFERROR(__xludf.DUMMYFUNCTION("""COMPUTED_VALUE"""),"Продление подписки на обновления Mobile SMARTS: Магазин 15, МЕГАМАРКЕТ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п"&amp;"ереоценка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Розница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" s="4" t="str">
        <f ca="1">IFERROR(__xludf.DUMMYFUNCTION("""COMPUTED_VALUE"""),"Продление подписки на обновления Mobile SMARTS: Магазин 15, МЕГАМАРКЕТ для «1С: Розница 2.3», для работы с товаром по штрихкодам  на 1 (один) год")</f>
        <v>Продление подписки на обновления Mobile SMARTS: Магазин 15, МЕГАМАРКЕТ для «1С: Розница 2.3», для работы с товаром по штрихкодам  на 1 (один) год</v>
      </c>
      <c r="F12" s="5">
        <f ca="1">IFERROR(__xludf.DUMMYFUNCTION("""COMPUTED_VALUE"""),4310)</f>
        <v>4310</v>
      </c>
    </row>
    <row r="13" spans="1:6" ht="72" customHeight="1" x14ac:dyDescent="0.2">
      <c r="A13" s="4" t="str">
        <f ca="1">IFERROR(__xludf.DUMMYFUNCTION("""COMPUTED_VALUE"""),"«1С: Розница 2.3»")</f>
        <v>«1С: Розница 2.3»</v>
      </c>
      <c r="B13" s="4" t="str">
        <f ca="1">IFERROR(__xludf.DUMMYFUNCTION("""COMPUTED_VALUE"""),"с ЕГАИС, БАЗОВЫЙ")</f>
        <v>с ЕГАИС, БАЗОВЫЙ</v>
      </c>
      <c r="C13" s="4" t="str">
        <f ca="1">IFERROR(__xludf.DUMMYFUNCTION("""COMPUTED_VALUE"""),"SSY1-RTL15AE-1CRZ23")</f>
        <v>SSY1-RTL15AE-1CRZ23</v>
      </c>
      <c r="D13" s="4" t="str">
        <f ca="1">IFERROR(__xludf.DUMMYFUNCTION("""COMPUTED_VALUE"""),"Продление подписки на обновления Mobile SMARTS: Магазин 15 с ЕГАИС, БАЗОВЫЙ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доступ"&amp;"ные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"&amp;"принтер,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(один)"&amp;" год")</f>
        <v>Продление подписки на обновления Mobile SMARTS: Магазин 15 с ЕГАИС, БАЗОВЫЙ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3" s="4" t="str">
        <f ca="1">IFERROR(__xludf.DUMMYFUNCTION("""COMPUTED_VALUE"""),"Продление подписки на обновления Mobile SMARTS: Магазин 15 с ЕГАИС, БАЗОВЫЙ для «1С: Розница 2.3»,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Розница 2.3», для работы с маркированным товаром: алкоголь ЕГАИС и товары по штрихкодам  на 1 (один) год</v>
      </c>
      <c r="F13" s="5">
        <f ca="1">IFERROR(__xludf.DUMMYFUNCTION("""COMPUTED_VALUE"""),2200)</f>
        <v>2200</v>
      </c>
    </row>
    <row r="14" spans="1:6" ht="72" customHeight="1" x14ac:dyDescent="0.2">
      <c r="A14" s="4" t="str">
        <f ca="1">IFERROR(__xludf.DUMMYFUNCTION("""COMPUTED_VALUE"""),"«1С: Розница 2.3»")</f>
        <v>«1С: Розница 2.3»</v>
      </c>
      <c r="B14" s="4" t="str">
        <f ca="1">IFERROR(__xludf.DUMMYFUNCTION("""COMPUTED_VALUE"""),"с ЕГАИС, РАСШИРЕННЫЙ")</f>
        <v>с ЕГАИС, РАСШИРЕННЫЙ</v>
      </c>
      <c r="C14" s="4" t="str">
        <f ca="1">IFERROR(__xludf.DUMMYFUNCTION("""COMPUTED_VALUE"""),"SSY1-RTL15BE-1CRZ23")</f>
        <v>SSY1-RTL15BE-1CRZ23</v>
      </c>
      <c r="D14" s="4" t="str">
        <f ca="1">IFERROR(__xludf.DUMMYFUNCTION("""COMPUTED_VALUE"""),"Продление подписки на обновления Mobile SMARTS: Магазин 15 с ЕГАИС, РАСШИРЕННЫЙ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до"&amp;"ступные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мобиль"&amp;"ный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на"&amp;" 1 (один) год")</f>
        <v>Продление подписки на обновления Mobile SMARTS: Магазин 15 с ЕГАИС, РАСШИРЕННЫЙ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" s="4" t="str">
        <f ca="1">IFERROR(__xludf.DUMMYFUNCTION("""COMPUTED_VALUE"""),"Продление подписки на обновления Mobile SMARTS: Магазин 15 с ЕГАИС, РАСШИРЕННЫЙ для «1С: Розница 2.3»,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Розница 2.3», для работы с маркированным товаром: алкоголь ЕГАИС и товары по штрихкодам  на 1 (один) год</v>
      </c>
      <c r="F14" s="5">
        <f ca="1">IFERROR(__xludf.DUMMYFUNCTION("""COMPUTED_VALUE"""),3490)</f>
        <v>3490</v>
      </c>
    </row>
    <row r="15" spans="1:6" ht="72" customHeight="1" x14ac:dyDescent="0.2">
      <c r="A15" s="4" t="str">
        <f ca="1">IFERROR(__xludf.DUMMYFUNCTION("""COMPUTED_VALUE"""),"«1С: Розница 2.3»")</f>
        <v>«1С: Розница 2.3»</v>
      </c>
      <c r="B15" s="4" t="str">
        <f ca="1">IFERROR(__xludf.DUMMYFUNCTION("""COMPUTED_VALUE"""),"с ЕГАИС (без CheckMark2), МЕГАМАРКЕТ")</f>
        <v>с ЕГАИС (без CheckMark2), МЕГАМАРКЕТ</v>
      </c>
      <c r="C15" s="4" t="str">
        <f ca="1">IFERROR(__xludf.DUMMYFUNCTION("""COMPUTED_VALUE"""),"SSY1-RTL15CEV-1CRZ23")</f>
        <v>SSY1-RTL15CEV-1CRZ23</v>
      </c>
      <c r="D15" s="4" t="str">
        <f ca="1">IFERROR(__xludf.DUMMYFUNCTION("""COMPUTED_VALUE"""),"Продление подписки на обновления Mobile SMARTS: Магазин 15 с ЕГАИС (без CheckMark2), МЕГАМАРКЕТ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"&amp;"есть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"&amp;"коллективная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"&amp;"обновления и обмен через Интернет на 1 (один) год")</f>
        <v>Продление подписки на обновления Mobile SMARTS: Магазин 15 с ЕГАИС (без CheckMark2), МЕГАМАРКЕТ для «1С: Розница 2.3»,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" s="4" t="str">
        <f ca="1">IFERROR(__xludf.DUMMYFUNCTION("""COMPUTED_VALUE"""),"Продление подписки на обновления Mobile SMARTS: Магазин 15 с ЕГАИС (без CheckMark2), МЕГАМАРКЕТ для «1С: Розница 2.3»,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Розница 2.3», для работы с маркированным товаром: алкоголь ЕГАИС и товары по штрихкодам  на 1 (один) год</v>
      </c>
      <c r="F15" s="5">
        <f ca="1">IFERROR(__xludf.DUMMYFUNCTION("""COMPUTED_VALUE"""),4770)</f>
        <v>4770</v>
      </c>
    </row>
    <row r="16" spans="1:6" ht="72" customHeight="1" x14ac:dyDescent="0.2">
      <c r="A16" s="4" t="str">
        <f ca="1">IFERROR(__xludf.DUMMYFUNCTION("""COMPUTED_VALUE"""),"«1С: Розница 2.3.3»")</f>
        <v>«1С: Розница 2.3.3»</v>
      </c>
      <c r="B16" s="4" t="str">
        <f ca="1">IFERROR(__xludf.DUMMYFUNCTION("""COMPUTED_VALUE"""),"с МОТП, БАЗОВЫЙ")</f>
        <v>с МОТП, БАЗОВЫЙ</v>
      </c>
      <c r="C16" s="4" t="str">
        <f ca="1">IFERROR(__xludf.DUMMYFUNCTION("""COMPUTED_VALUE"""),"SSY1-RTL15AT-1CRZ23")</f>
        <v>SSY1-RTL15AT-1CRZ23</v>
      </c>
      <c r="D16" s="4" t="str">
        <f ca="1">IFERROR(__xludf.DUMMYFUNCTION("""COMPUTED_VALUE"""),"Продление подписки на обновления Mobile SMARTS: Магазин 15 с МОТП, БАЗОВЫЙ для «1С: Розница 2.3.3»,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опер"&amp;"ации: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возмож"&amp;"ности: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(од"&amp;"ин) год")</f>
        <v>Продление подписки на обновления Mobile SMARTS: Магазин 15 с МОТП, БАЗОВЫЙ для «1С: Розница 2.3.3»,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" s="4" t="str">
        <f ca="1">IFERROR(__xludf.DUMMYFUNCTION("""COMPUTED_VALUE"""),"Продление подписки на обновления Mobile SMARTS: Магазин 15 с МОТП, БАЗОВЫЙ для «1С: Розница 2.3.3»,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Розница 2.3.3», для работы с маркированным товаром: ТАБАК и товары по штрихкодам  на 1 (один) год</v>
      </c>
      <c r="F16" s="5">
        <f ca="1">IFERROR(__xludf.DUMMYFUNCTION("""COMPUTED_VALUE"""),2230)</f>
        <v>2230</v>
      </c>
    </row>
    <row r="17" spans="1:6" ht="72" customHeight="1" x14ac:dyDescent="0.2">
      <c r="A17" s="4" t="str">
        <f ca="1">IFERROR(__xludf.DUMMYFUNCTION("""COMPUTED_VALUE"""),"«1С: Розница 2.3.3»")</f>
        <v>«1С: Розница 2.3.3»</v>
      </c>
      <c r="B17" s="4" t="str">
        <f ca="1">IFERROR(__xludf.DUMMYFUNCTION("""COMPUTED_VALUE"""),"с МОТП, РАСШИРЕННЫЙ")</f>
        <v>с МОТП, РАСШИРЕННЫЙ</v>
      </c>
      <c r="C17" s="4" t="str">
        <f ca="1">IFERROR(__xludf.DUMMYFUNCTION("""COMPUTED_VALUE"""),"SSY1-RTL15BT-1CRZ23")</f>
        <v>SSY1-RTL15BT-1CRZ23</v>
      </c>
      <c r="D17" s="4" t="str">
        <f ca="1">IFERROR(__xludf.DUMMYFUNCTION("""COMPUTED_VALUE"""),"Продление подписки на обновления Mobile SMARTS: Магазин 15 с МОТП, РАСШИРЕННЫЙ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Продление подписки на обновления Mobile SMARTS: Магазин 15 с МОТП, РАСШИРЕННЫЙ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" s="4" t="str">
        <f ca="1">IFERROR(__xludf.DUMMYFUNCTION("""COMPUTED_VALUE"""),"Продление подписки на обновления Mobile SMARTS: Магазин 15 с МОТП, РАСШИРЕННЫЙ для «1С: Розница 2.3.3»,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Розница 2.3.3», для работы с маркированным товаром: ТАБАК и товары по штрихкодам  на 1 (один) год</v>
      </c>
      <c r="F17" s="5">
        <f ca="1">IFERROR(__xludf.DUMMYFUNCTION("""COMPUTED_VALUE"""),3490)</f>
        <v>3490</v>
      </c>
    </row>
    <row r="18" spans="1:6" ht="72" customHeight="1" x14ac:dyDescent="0.2">
      <c r="A18" s="4" t="str">
        <f ca="1">IFERROR(__xludf.DUMMYFUNCTION("""COMPUTED_VALUE"""),"«1С: Розница 2.3.3»")</f>
        <v>«1С: Розница 2.3.3»</v>
      </c>
      <c r="B18" s="4" t="str">
        <f ca="1">IFERROR(__xludf.DUMMYFUNCTION("""COMPUTED_VALUE"""),"с МОТП, МЕГАМАРКЕТ")</f>
        <v>с МОТП, МЕГАМАРКЕТ</v>
      </c>
      <c r="C18" s="4" t="str">
        <f ca="1">IFERROR(__xludf.DUMMYFUNCTION("""COMPUTED_VALUE"""),"SSY1-RTL15CT-1CRZ23")</f>
        <v>SSY1-RTL15CT-1CRZ23</v>
      </c>
      <c r="D18" s="4" t="str">
        <f ca="1">IFERROR(__xludf.DUMMYFUNCTION("""COMPUTED_VALUE"""),"Продление подписки на обновления Mobile SMARTS: Магазин 15 с МОТП, МЕГАМАРКЕТ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 с МОТП, МЕГАМАРКЕТ для «1С: Розница 2.3.3»,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" s="4" t="str">
        <f ca="1">IFERROR(__xludf.DUMMYFUNCTION("""COMPUTED_VALUE"""),"Продление подписки на обновления Mobile SMARTS: Магазин 15 с МОТП, МЕГАМАРКЕТ для «1С: Розница 2.3.3»,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Розница 2.3.3», для работы с маркированным товаром: ТАБАК и товары по штрихкодам  на 1 (один) год</v>
      </c>
      <c r="F18" s="5">
        <f ca="1">IFERROR(__xludf.DUMMYFUNCTION("""COMPUTED_VALUE"""),4770)</f>
        <v>4770</v>
      </c>
    </row>
    <row r="19" spans="1:6" ht="72" customHeight="1" x14ac:dyDescent="0.2">
      <c r="A19" s="4" t="str">
        <f ca="1">IFERROR(__xludf.DUMMYFUNCTION("""COMPUTED_VALUE"""),"«1С: Розница 2.3.3»")</f>
        <v>«1С: Розница 2.3.3»</v>
      </c>
      <c r="B19" s="4" t="str">
        <f ca="1">IFERROR(__xludf.DUMMYFUNCTION("""COMPUTED_VALUE"""),"с ЕГАИС и МОТП, БАЗОВЫЙ")</f>
        <v>с ЕГАИС и МОТП, БАЗОВЫЙ</v>
      </c>
      <c r="C19" s="4" t="str">
        <f ca="1">IFERROR(__xludf.DUMMYFUNCTION("""COMPUTED_VALUE"""),"SSY1-RTL15AET-1CRZ23")</f>
        <v>SSY1-RTL15AET-1CRZ23</v>
      </c>
      <c r="D19" s="4" t="str">
        <f ca="1">IFERROR(__xludf.DUMMYFUNCTION("""COMPUTED_VALUE"""),"Продление подписки на обновления Mobile SMARTS: Магазин 15 с ЕГАИС и МОТП, БАЗОВЫЙ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нет онлайн"&amp;"а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пе"&amp;"ремещение,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" s="4" t="str">
        <f ca="1">IFERROR(__xludf.DUMMYFUNCTION("""COMPUTED_VALUE"""),"Продление подписки на обновления Mobile SMARTS: Магазин 15 с ЕГАИС и МОТП, БАЗОВЫЙ для «1С: Розница 2.3.3»,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Розница 2.3.3», для работы с маркированным товаром: АЛКОГОЛЬ, ТАБАК и товары по штрихкодам  на 1 (один) год</v>
      </c>
      <c r="F19" s="5">
        <f ca="1">IFERROR(__xludf.DUMMYFUNCTION("""COMPUTED_VALUE"""),2430)</f>
        <v>2430</v>
      </c>
    </row>
    <row r="20" spans="1:6" ht="72" customHeight="1" x14ac:dyDescent="0.2">
      <c r="A20" s="4" t="str">
        <f ca="1">IFERROR(__xludf.DUMMYFUNCTION("""COMPUTED_VALUE"""),"«1С: Розница 2.3.3»")</f>
        <v>«1С: Розница 2.3.3»</v>
      </c>
      <c r="B20" s="4" t="str">
        <f ca="1">IFERROR(__xludf.DUMMYFUNCTION("""COMPUTED_VALUE"""),"с ЕГАИС и МОТП, РАСШИРЕННЫЙ")</f>
        <v>с ЕГАИС и МОТП, РАСШИРЕННЫЙ</v>
      </c>
      <c r="C20" s="4" t="str">
        <f ca="1">IFERROR(__xludf.DUMMYFUNCTION("""COMPUTED_VALUE"""),"SSY1-RTL15BET-1CRZ23")</f>
        <v>SSY1-RTL15BET-1CRZ23</v>
      </c>
      <c r="D20" s="4" t="str">
        <f ca="1">IFERROR(__xludf.DUMMYFUNCTION("""COMPUTED_VALUE"""),"Продление подписки на обновления Mobile SMARTS: Магазин 15 с ЕГАИС и МОТП, РАСШИРЕННЫЙ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О"&amp;"НЛАЙН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КМ)"&amp;",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су"&amp;"ществующих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" s="4" t="str">
        <f ca="1">IFERROR(__xludf.DUMMYFUNCTION("""COMPUTED_VALUE"""),"Продление подписки на обновления Mobile SMARTS: Магазин 15 с ЕГАИС и МОТП, РАСШИРЕННЫЙ для «1С: Розница 2.3.3»,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Розница 2.3.3», для работы с маркированным товаром: АЛКОГОЛЬ, ТАБАК и товары по штрихкодам  на 1 (один) год</v>
      </c>
      <c r="F20" s="5">
        <f ca="1">IFERROR(__xludf.DUMMYFUNCTION("""COMPUTED_VALUE"""),3710)</f>
        <v>3710</v>
      </c>
    </row>
    <row r="21" spans="1:6" ht="72" customHeight="1" x14ac:dyDescent="0.2">
      <c r="A21" s="4" t="str">
        <f ca="1">IFERROR(__xludf.DUMMYFUNCTION("""COMPUTED_VALUE"""),"«1С: Розница 2.3.3»")</f>
        <v>«1С: Розница 2.3.3»</v>
      </c>
      <c r="B21" s="4" t="str">
        <f ca="1">IFERROR(__xludf.DUMMYFUNCTION("""COMPUTED_VALUE"""),"с ЕГАИС и МОТП, МЕГАМАРКЕТ")</f>
        <v>с ЕГАИС и МОТП, МЕГАМАРКЕТ</v>
      </c>
      <c r="C21" s="4" t="str">
        <f ca="1">IFERROR(__xludf.DUMMYFUNCTION("""COMPUTED_VALUE"""),"SSY1-RTL15CET-1CRZ23")</f>
        <v>SSY1-RTL15CET-1CRZ23</v>
      </c>
      <c r="D21" s="4" t="str">
        <f ca="1">IFERROR(__xludf.DUMMYFUNCTION("""COMPUTED_VALUE"""),"Продление подписки на обновления Mobile SMARTS: Магазин 15 с ЕГАИС и МОТП, МЕГАМАРКЕТ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ОН"&amp;"ЛАЙН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КМ),"&amp;"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Розница 2.3.3»,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" s="4" t="str">
        <f ca="1">IFERROR(__xludf.DUMMYFUNCTION("""COMPUTED_VALUE"""),"Продление подписки на обновления Mobile SMARTS: Магазин 15 с ЕГАИС и МОТП, МЕГАМАРКЕТ для «1С: Розница 2.3.3»,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Розница 2.3.3», для работы с маркированным товаром: АЛКОГОЛЬ, ТАБАК и товары по штрихкодам  на 1 (один) год</v>
      </c>
      <c r="F21" s="5">
        <f ca="1">IFERROR(__xludf.DUMMYFUNCTION("""COMPUTED_VALUE"""),5270)</f>
        <v>5270</v>
      </c>
    </row>
    <row r="22" spans="1:6" ht="72" customHeight="1" x14ac:dyDescent="0.2">
      <c r="A22" s="4" t="str">
        <f ca="1">IFERROR(__xludf.DUMMYFUNCTION("""COMPUTED_VALUE"""),"«1С: Розница 2.3.3»")</f>
        <v>«1С: Розница 2.3.3»</v>
      </c>
      <c r="B22" s="4" t="str">
        <f ca="1">IFERROR(__xludf.DUMMYFUNCTION("""COMPUTED_VALUE"""),"ШМОТКИ, БАЗОВЫЙ")</f>
        <v>ШМОТКИ, БАЗОВЫЙ</v>
      </c>
      <c r="C22" s="4" t="str">
        <f ca="1">IFERROR(__xludf.DUMMYFUNCTION("""COMPUTED_VALUE"""),"SSY1-RTL15AK-1CRZ23")</f>
        <v>SSY1-RTL15AK-1CRZ23</v>
      </c>
      <c r="D22" s="4" t="str">
        <f ca="1">IFERROR(__xludf.DUMMYFUNCTION("""COMPUTED_VALUE"""),"Продление подписки на обновления Mobile SMARTS: Магазин 15 ШМОТКИ, БАЗОВЫЙ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он"&amp;"лайна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пров"&amp;"ерка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ч"&amp;"ерез Интернет на 1 (один) год")</f>
        <v>Продление подписки на обновления Mobile SMARTS: Магазин 15 ШМОТКИ, БАЗОВЫЙ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" s="4" t="str">
        <f ca="1">IFERROR(__xludf.DUMMYFUNCTION("""COMPUTED_VALUE"""),"Продление подписки на обновления Mobile SMARTS: Магазин 15 ШМОТКИ, БАЗОВЫЙ для «1С: Розница 2.3.3»,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Розница 2.3.3», для работы с маркированным товаром: ОБУВЬ, ОДЕЖДА, ПАРФЮМ, ШИНЫ и товары по штрихкодам  на 1 (один) год</v>
      </c>
      <c r="F22" s="5">
        <f ca="1">IFERROR(__xludf.DUMMYFUNCTION("""COMPUTED_VALUE"""),2430)</f>
        <v>2430</v>
      </c>
    </row>
    <row r="23" spans="1:6" ht="72" customHeight="1" x14ac:dyDescent="0.2">
      <c r="A23" s="4" t="str">
        <f ca="1">IFERROR(__xludf.DUMMYFUNCTION("""COMPUTED_VALUE"""),"«1С: Розница 2.3.3»")</f>
        <v>«1С: Розница 2.3.3»</v>
      </c>
      <c r="B23" s="4" t="str">
        <f ca="1">IFERROR(__xludf.DUMMYFUNCTION("""COMPUTED_VALUE"""),"ШМОТКИ, РАСШИРЕННЫЙ")</f>
        <v>ШМОТКИ, РАСШИРЕННЫЙ</v>
      </c>
      <c r="C23" s="4" t="str">
        <f ca="1">IFERROR(__xludf.DUMMYFUNCTION("""COMPUTED_VALUE"""),"SSY1-RTL15BK-1CRZ23")</f>
        <v>SSY1-RTL15BK-1CRZ23</v>
      </c>
      <c r="D23" s="4" t="str">
        <f ca="1">IFERROR(__xludf.DUMMYFUNCTION("""COMPUTED_VALUE"""),"Продление подписки на обновления Mobile SMARTS: Магазин 15 ШМОТКИ, РАСШИРЕННЫЙ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ес"&amp;"ть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"&amp;"проверка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обм"&amp;"ен через Интернет на 1 (один) год")</f>
        <v>Продление подписки на обновления Mobile SMARTS: Магазин 15 ШМОТКИ, РАСШИРЕННЫЙ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" s="4" t="str">
        <f ca="1">IFERROR(__xludf.DUMMYFUNCTION("""COMPUTED_VALUE"""),"Продление подписки на обновления Mobile SMARTS: Магазин 15 ШМОТКИ, РАСШИРЕННЫЙ для «1С: Розница 2.3.3»,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«1С: Розница 2.3.3», для работы с маркированным товаром: ОБУВЬ, ОДЕЖДА, ПАРФЮМ, ШИНЫ и товары по штрихкодам  на 1 (один) год</v>
      </c>
      <c r="F23" s="5">
        <f ca="1">IFERROR(__xludf.DUMMYFUNCTION("""COMPUTED_VALUE"""),3710)</f>
        <v>3710</v>
      </c>
    </row>
    <row r="24" spans="1:6" ht="72" customHeight="1" x14ac:dyDescent="0.2">
      <c r="A24" s="4" t="str">
        <f ca="1">IFERROR(__xludf.DUMMYFUNCTION("""COMPUTED_VALUE"""),"«1С: Розница 2.3.3»")</f>
        <v>«1С: Розница 2.3.3»</v>
      </c>
      <c r="B24" s="4" t="str">
        <f ca="1">IFERROR(__xludf.DUMMYFUNCTION("""COMPUTED_VALUE"""),"ШМОТКИ, МЕГАМАРКЕТ")</f>
        <v>ШМОТКИ, МЕГАМАРКЕТ</v>
      </c>
      <c r="C24" s="4" t="str">
        <f ca="1">IFERROR(__xludf.DUMMYFUNCTION("""COMPUTED_VALUE"""),"SSY1-RTL15CK-1CRZ23")</f>
        <v>SSY1-RTL15CK-1CRZ23</v>
      </c>
      <c r="D24" s="4" t="str">
        <f ca="1">IFERROR(__xludf.DUMMYFUNCTION("""COMPUTED_VALUE"""),"Продление подписки на обновления Mobile SMARTS: Магазин 15 ШМОТКИ, МЕГАМАРКЕТ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ест"&amp;"ь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п"&amp;"роверка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подписка"&amp;" на обновления и обмен через Интернет на 1 (один) год")</f>
        <v>Продление подписки на обновления Mobile SMARTS: Магазин 15 ШМОТКИ, МЕГАМАРКЕТ для «1С: Розница 2.3.3»,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" s="4" t="str">
        <f ca="1">IFERROR(__xludf.DUMMYFUNCTION("""COMPUTED_VALUE"""),"Продление подписки на обновления Mobile SMARTS: Магазин 15 ШМОТКИ, МЕГАМАРКЕТ для «1С: Розница 2.3.3»,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«1С: Розница 2.3.3», для работы с маркированным товаром: ОБУВЬ, ОДЕЖДА, ПАРФЮМ, ШИНЫ и товары по штрихкодам  на 1 (один) год</v>
      </c>
      <c r="F24" s="5">
        <f ca="1">IFERROR(__xludf.DUMMYFUNCTION("""COMPUTED_VALUE"""),5270)</f>
        <v>5270</v>
      </c>
    </row>
    <row r="25" spans="1:6" ht="72" customHeight="1" x14ac:dyDescent="0.2">
      <c r="A25" s="4" t="str">
        <f ca="1">IFERROR(__xludf.DUMMYFUNCTION("""COMPUTED_VALUE"""),"«1С: Розница 2.3.3»")</f>
        <v>«1С: Розница 2.3.3»</v>
      </c>
      <c r="B25" s="4" t="str">
        <f ca="1">IFERROR(__xludf.DUMMYFUNCTION("""COMPUTED_VALUE"""),"ПРОДУКТОВЫЙ, БАЗОВЫЙ")</f>
        <v>ПРОДУКТОВЫЙ, БАЗОВЫЙ</v>
      </c>
      <c r="C25" s="4" t="str">
        <f ca="1">IFERROR(__xludf.DUMMYFUNCTION("""COMPUTED_VALUE"""),"SSY1-RTL15AG-1CRZ23")</f>
        <v>SSY1-RTL15AG-1CRZ23</v>
      </c>
      <c r="D25" s="4" t="str">
        <f ca="1">IFERROR(__xludf.DUMMYFUNCTION("""COMPUTED_VALUE"""),"Продление подписки на обновления 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беспр"&amp;"оводной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возвр"&amp;"ат,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" s="4" t="str">
        <f ca="1">IFERROR(__xludf.DUMMYFUNCTION("""COMPUTED_VALUE"""),"Продление подписки на обновления 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БАЗОВЫЙ для «1С: Розница 2.3.3», для работы с маркированным товаром: АЛКОГОЛЬ, ПИВО, ТАБАК, МОЛОКО, ВОДА, ОДЕЖДА, ОБУВЬ, ДУХИ, ШИНЫ и товаром по штрихкодам  на 1 (один) год</v>
      </c>
      <c r="F25" s="5">
        <f ca="1">IFERROR(__xludf.DUMMYFUNCTION("""COMPUTED_VALUE"""),2910)</f>
        <v>2910</v>
      </c>
    </row>
    <row r="26" spans="1:6" ht="72" customHeight="1" x14ac:dyDescent="0.2">
      <c r="A26" s="4" t="str">
        <f ca="1">IFERROR(__xludf.DUMMYFUNCTION("""COMPUTED_VALUE"""),"«1С: Розница 2.3.3»")</f>
        <v>«1С: Розница 2.3.3»</v>
      </c>
      <c r="B26" s="4" t="str">
        <f ca="1">IFERROR(__xludf.DUMMYFUNCTION("""COMPUTED_VALUE"""),"ПРОДУКТОВЫЙ, РАСШИРЕННЫЙ")</f>
        <v>ПРОДУКТОВЫЙ, РАСШИРЕННЫЙ</v>
      </c>
      <c r="C26" s="4" t="str">
        <f ca="1">IFERROR(__xludf.DUMMYFUNCTION("""COMPUTED_VALUE"""),"SSY1-RTL15BG-1CRZ23")</f>
        <v>SSY1-RTL15BG-1CRZ23</v>
      </c>
      <c r="D26" s="4" t="str">
        <f ca="1">IFERROR(__xludf.DUMMYFUNCTION("""COMPUTED_VALUE"""),"Продление подписки на обновления 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б"&amp;"еспроводной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в"&amp;"озврат,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контрагент"&amp;"ах,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" s="4" t="str">
        <f ca="1">IFERROR(__xludf.DUMMYFUNCTION("""COMPUTED_VALUE"""),"Продление подписки на обновления 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РАСШИРЕННЫЙ для «1С: Розница 2.3.3», для работы с маркированным товаром: АЛКОГОЛЬ, ПИВО, ТАБАК, МОЛОКО, ВОДА, ОДЕЖДА, ОБУВЬ, ДУХИ, ШИНЫ и товаром по штрихкодам  на 1 (один) год</v>
      </c>
      <c r="F26" s="5">
        <f ca="1">IFERROR(__xludf.DUMMYFUNCTION("""COMPUTED_VALUE"""),4190)</f>
        <v>4190</v>
      </c>
    </row>
    <row r="27" spans="1:6" ht="72" customHeight="1" x14ac:dyDescent="0.2">
      <c r="A27" s="4" t="str">
        <f ca="1">IFERROR(__xludf.DUMMYFUNCTION("""COMPUTED_VALUE"""),"«1С: Розница 2.3.3»")</f>
        <v>«1С: Розница 2.3.3»</v>
      </c>
      <c r="B27" s="4" t="str">
        <f ca="1">IFERROR(__xludf.DUMMYFUNCTION("""COMPUTED_VALUE"""),"ПРОДУКТОВЫЙ, МЕГАМАРКЕТ")</f>
        <v>ПРОДУКТОВЫЙ, МЕГАМАРКЕТ</v>
      </c>
      <c r="C27" s="4" t="str">
        <f ca="1">IFERROR(__xludf.DUMMYFUNCTION("""COMPUTED_VALUE"""),"SSY1-RTL15CG-1CRZ23")</f>
        <v>SSY1-RTL15CG-1CRZ23</v>
      </c>
      <c r="D27" s="4" t="str">
        <f ca="1">IFERROR(__xludf.DUMMYFUNCTION("""COMPUTED_VALUE"""),"Продление подписки на обновления 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бе"&amp;"спроводной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во"&amp;"зврат,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товаре,"&amp;"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" s="4" t="str">
        <f ca="1">IFERROR(__xludf.DUMMYFUNCTION("""COMPUTED_VALUE"""),"Продление подписки на обновления 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МЕГАМАРКЕТ для «1С: Розница 2.3.3», для работы с маркированным товаром: АЛКОГОЛЬ, ПИВО, ТАБАК, МОЛОКО, ВОДА, ОДЕЖДА, ОБУВЬ, ДУХИ, ШИНЫ и товаром по штрихкодам  на 1 (один) год</v>
      </c>
      <c r="F27" s="5">
        <f ca="1">IFERROR(__xludf.DUMMYFUNCTION("""COMPUTED_VALUE"""),5650)</f>
        <v>5650</v>
      </c>
    </row>
    <row r="28" spans="1:6" ht="72" customHeight="1" x14ac:dyDescent="0.2">
      <c r="A28" s="4" t="str">
        <f ca="1">IFERROR(__xludf.DUMMYFUNCTION("""COMPUTED_VALUE"""),"«1С: Управление небольшой фирмой 1.6»")</f>
        <v>«1С: Управление небольшой фирмой 1.6»</v>
      </c>
      <c r="B28" s="4" t="str">
        <f ca="1">IFERROR(__xludf.DUMMYFUNCTION("""COMPUTED_VALUE"""),"МИНИМУМ")</f>
        <v>МИНИМУМ</v>
      </c>
      <c r="C28" s="4" t="str">
        <f ca="1">IFERROR(__xludf.DUMMYFUNCTION("""COMPUTED_VALUE"""),"SSY1-RTL15M-1CUNF16")</f>
        <v>SSY1-RTL15M-1CUNF16</v>
      </c>
      <c r="D28" s="4" t="str">
        <f ca="1">IFERROR(__xludf.DUMMYFUNCTION("""COMPUTED_VALUE"""),"Продление подписки на обновления Mobile SMARTS: Магазин 15, МИНИМУМ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сбор штрихкод"&amp;"ов,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обновле"&amp;"ния и обмен через Интернет на 1 (один) год")</f>
        <v>Продление подписки на обновления Mobile SMARTS: Магазин 15, МИНИМУМ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8" s="4" t="str">
        <f ca="1">IFERROR(__xludf.DUMMYFUNCTION("""COMPUTED_VALUE"""),"Продление подписки на обновления Mobile SMARTS: Магазин 15, МИНИМУМ для «1С: Управление небольшой фирмой 1.6», для работы с товаром по штрихкодам  на 1 (один) год")</f>
        <v>Продление подписки на обновления Mobile SMARTS: Магазин 15, МИНИМУМ для «1С: Управление небольшой фирмой 1.6», для работы с товаром по штрихкодам  на 1 (один) год</v>
      </c>
      <c r="F28" s="5">
        <f ca="1">IFERROR(__xludf.DUMMYFUNCTION("""COMPUTED_VALUE"""),690)</f>
        <v>690</v>
      </c>
    </row>
    <row r="29" spans="1:6" ht="72" customHeight="1" x14ac:dyDescent="0.2">
      <c r="A29" s="4" t="str">
        <f ca="1">IFERROR(__xludf.DUMMYFUNCTION("""COMPUTED_VALUE"""),"«1С: Управление небольшой фирмой 1.6»")</f>
        <v>«1С: Управление небольшой фирмой 1.6»</v>
      </c>
      <c r="B29" s="4" t="str">
        <f ca="1">IFERROR(__xludf.DUMMYFUNCTION("""COMPUTED_VALUE"""),"БАЗОВЫЙ")</f>
        <v>БАЗОВЫЙ</v>
      </c>
      <c r="C29" s="4" t="str">
        <f ca="1">IFERROR(__xludf.DUMMYFUNCTION("""COMPUTED_VALUE"""),"SSY1-RTL15A-1CUNF16")</f>
        <v>SSY1-RTL15A-1CUNF16</v>
      </c>
      <c r="D29" s="4" t="str">
        <f ca="1">IFERROR(__xludf.DUMMYFUNCTION("""COMPUTED_VALUE"""),"Продление подписки на обновления Mobile SMARTS: Магазин 15, БАЗОВЫЙ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поступление, "&amp;"инвентаризация,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небольшой фирмой 1.6»,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" s="4" t="str">
        <f ca="1">IFERROR(__xludf.DUMMYFUNCTION("""COMPUTED_VALUE"""),"Продление подписки на обновления Mobile SMARTS: Магазин 15, БАЗОВЫЙ для «1С: Управление небольшой фирмой 1.6», для работы с товаром по штрихкодам  на 1 (один) год")</f>
        <v>Продление подписки на обновления Mobile SMARTS: Магазин 15, БАЗОВЫЙ для «1С: Управление небольшой фирмой 1.6», для работы с товаром по штрихкодам  на 1 (один) год</v>
      </c>
      <c r="F29" s="5">
        <f ca="1">IFERROR(__xludf.DUMMYFUNCTION("""COMPUTED_VALUE"""),1730)</f>
        <v>1730</v>
      </c>
    </row>
    <row r="30" spans="1:6" ht="72" customHeight="1" x14ac:dyDescent="0.2">
      <c r="A30" s="4" t="str">
        <f ca="1">IFERROR(__xludf.DUMMYFUNCTION("""COMPUTED_VALUE"""),"«1С: Управление небольшой фирмой 1.6»")</f>
        <v>«1С: Управление небольшой фирмой 1.6»</v>
      </c>
      <c r="B30" s="4" t="str">
        <f ca="1">IFERROR(__xludf.DUMMYFUNCTION("""COMPUTED_VALUE"""),"РАСШИРЕННЫЙ")</f>
        <v>РАСШИРЕННЫЙ</v>
      </c>
      <c r="C30" s="4" t="str">
        <f ca="1">IFERROR(__xludf.DUMMYFUNCTION("""COMPUTED_VALUE"""),"SSY1-RTL15B-1CUNF16")</f>
        <v>SSY1-RTL15B-1CUNF16</v>
      </c>
      <c r="D30" s="4" t="str">
        <f ca="1">IFERROR(__xludf.DUMMYFUNCTION("""COMPUTED_VALUE"""),"Продление подписки на обновления Mobile SMARTS: Магазин 15, РАСШИРЕННЫЙ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поступлен"&amp;"ие,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" s="4" t="str">
        <f ca="1">IFERROR(__xludf.DUMMYFUNCTION("""COMPUTED_VALUE"""),"Продление подписки на обновления Mobile SMARTS: Магазин 15, РАСШИРЕННЫЙ для «1С: Управление небольшой фирмой 1.6», для работы с товаром по штрихкодам  на 1 (один) год")</f>
        <v>Продление подписки на обновления Mobile SMARTS: Магазин 15, РАСШИРЕННЫЙ для «1С: Управление небольшой фирмой 1.6», для работы с товаром по штрихкодам  на 1 (один) год</v>
      </c>
      <c r="F30" s="5">
        <f ca="1">IFERROR(__xludf.DUMMYFUNCTION("""COMPUTED_VALUE"""),3010)</f>
        <v>3010</v>
      </c>
    </row>
    <row r="31" spans="1:6" ht="72" customHeight="1" x14ac:dyDescent="0.2">
      <c r="A31" s="4" t="str">
        <f ca="1">IFERROR(__xludf.DUMMYFUNCTION("""COMPUTED_VALUE"""),"«1С: Управление небольшой фирмой 1.6»")</f>
        <v>«1С: Управление небольшой фирмой 1.6»</v>
      </c>
      <c r="B31" s="4" t="str">
        <f ca="1">IFERROR(__xludf.DUMMYFUNCTION("""COMPUTED_VALUE"""),"МЕГАМАРКЕТ")</f>
        <v>МЕГАМАРКЕТ</v>
      </c>
      <c r="C31" s="4" t="str">
        <f ca="1">IFERROR(__xludf.DUMMYFUNCTION("""COMPUTED_VALUE"""),"SSY1-RTL15C-1CUNF16")</f>
        <v>SSY1-RTL15C-1CUNF16</v>
      </c>
      <c r="D31" s="4" t="str">
        <f ca="1">IFERROR(__xludf.DUMMYFUNCTION("""COMPUTED_VALUE"""),"Продление подписки на обновления Mobile SMARTS: Магазин 15, МЕГАМАРКЕТ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поступлени"&amp;"е,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небольшой фирмой 1.6»,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" s="4" t="str">
        <f ca="1">IFERROR(__xludf.DUMMYFUNCTION("""COMPUTED_VALUE"""),"Продление подписки на обновления Mobile SMARTS: Магазин 15, МЕГАМАРКЕТ для «1С: Управление небольшой фирмой 1.6», для работы с товаром по штрихкодам  на 1 (один) год")</f>
        <v>Продление подписки на обновления Mobile SMARTS: Магазин 15, МЕГАМАРКЕТ для «1С: Управление небольшой фирмой 1.6», для работы с товаром по штрихкодам  на 1 (один) год</v>
      </c>
      <c r="F31" s="5">
        <f ca="1">IFERROR(__xludf.DUMMYFUNCTION("""COMPUTED_VALUE"""),4310)</f>
        <v>4310</v>
      </c>
    </row>
    <row r="32" spans="1:6" ht="72" customHeight="1" x14ac:dyDescent="0.2">
      <c r="A32" s="4" t="str">
        <f ca="1">IFERROR(__xludf.DUMMYFUNCTION("""COMPUTED_VALUE"""),"«1С: Управление небольшой фирмой 1.6»")</f>
        <v>«1С: Управление небольшой фирмой 1.6»</v>
      </c>
      <c r="B32" s="4" t="str">
        <f ca="1">IFERROR(__xludf.DUMMYFUNCTION("""COMPUTED_VALUE"""),"с ЕГАИС, БАЗОВЫЙ")</f>
        <v>с ЕГАИС, БАЗОВЫЙ</v>
      </c>
      <c r="C32" s="4" t="str">
        <f ca="1">IFERROR(__xludf.DUMMYFUNCTION("""COMPUTED_VALUE"""),"SSY1-RTL15AE-1CUNF16")</f>
        <v>SSY1-RTL15AE-1CUNF16</v>
      </c>
      <c r="D32" s="4" t="str">
        <f ca="1">IFERROR(__xludf.DUMMYFUNCTION("""COMPUTED_VALUE"""),"Продление подписки на обновления Mobile SMARTS: Магазин 15 с ЕГАИС, БАЗОВЫЙ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"&amp;"нет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"&amp;"печать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"&amp;"Интернет на 1 (один) год")</f>
        <v>Продление подписки на обновления Mobile SMARTS: Магазин 15 с ЕГАИС, БАЗОВЫЙ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2" s="4" t="str">
        <f ca="1">IFERROR(__xludf.DUMMYFUNCTION("""COMPUTED_VALUE"""),"Продление подписки на обновления Mobile SMARTS: Магазин 15 с ЕГАИС, БАЗОВЫЙ для «1С: Управление небольшой фирмой 1.6»,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Управление небольшой фирмой 1.6», для работы с маркированным товаром: алкоголь ЕГАИС и товары по штрихкодам  на 1 (один) год</v>
      </c>
      <c r="F32" s="5">
        <f ca="1">IFERROR(__xludf.DUMMYFUNCTION("""COMPUTED_VALUE"""),2200)</f>
        <v>2200</v>
      </c>
    </row>
    <row r="33" spans="1:6" ht="72" customHeight="1" x14ac:dyDescent="0.2">
      <c r="A33" s="4" t="str">
        <f ca="1">IFERROR(__xludf.DUMMYFUNCTION("""COMPUTED_VALUE"""),"«1С: Управление небольшой фирмой 1.6»")</f>
        <v>«1С: Управление небольшой фирмой 1.6»</v>
      </c>
      <c r="B33" s="4" t="str">
        <f ca="1">IFERROR(__xludf.DUMMYFUNCTION("""COMPUTED_VALUE"""),"с ЕГАИС, РАСШИРЕННЫЙ")</f>
        <v>с ЕГАИС, РАСШИРЕННЫЙ</v>
      </c>
      <c r="C33" s="4" t="str">
        <f ca="1">IFERROR(__xludf.DUMMYFUNCTION("""COMPUTED_VALUE"""),"SSY1-RTL15BE-1CUNF16")</f>
        <v>SSY1-RTL15BE-1CUNF16</v>
      </c>
      <c r="D33" s="4" t="str">
        <f ca="1">IFERROR(__xludf.DUMMYFUNCTION("""COMPUTED_VALUE"""),"Продление подписки на обновления 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Интерне"&amp;"т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возможнос"&amp;"ти: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обм"&amp;"ен через Интернет на 1 (один) год")</f>
        <v>Продление подписки на обновления 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" s="4" t="str">
        <f ca="1">IFERROR(__xludf.DUMMYFUNCTION("""COMPUTED_VALUE"""),"Продление подписки на обновления 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Управление небольшой фирмой 1.6», для работы с маркированным товаром: алкоголь ЕГАИС и товары по штрихкодам  на 1 (один) год</v>
      </c>
      <c r="F33" s="5">
        <f ca="1">IFERROR(__xludf.DUMMYFUNCTION("""COMPUTED_VALUE"""),3490)</f>
        <v>3490</v>
      </c>
    </row>
    <row r="34" spans="1:6" ht="72" customHeight="1" x14ac:dyDescent="0.2">
      <c r="A34" s="4" t="str">
        <f ca="1">IFERROR(__xludf.DUMMYFUNCTION("""COMPUTED_VALUE"""),"«1С: Управление небольшой фирмой 1.6»")</f>
        <v>«1С: Управление небольшой фирмой 1.6»</v>
      </c>
      <c r="B34" s="4" t="str">
        <f ca="1">IFERROR(__xludf.DUMMYFUNCTION("""COMPUTED_VALUE"""),"с ЕГАИС (без CheckMark2), МЕГАМАРКЕТ")</f>
        <v>с ЕГАИС (без CheckMark2), МЕГАМАРКЕТ</v>
      </c>
      <c r="C34" s="4" t="str">
        <f ca="1">IFERROR(__xludf.DUMMYFUNCTION("""COMPUTED_VALUE"""),"SSY1-RTL15CEV-1CUNF16")</f>
        <v>SSY1-RTL15CEV-1CUNF16</v>
      </c>
      <c r="D34" s="4" t="str">
        <f ca="1">IFERROR(__xludf.DUMMYFUNCTION("""COMPUTED_VALUE"""),"Продление подписки на обновления 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QR-к"&amp;"одов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устр"&amp;"ойство,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" s="4" t="str">
        <f ca="1">IFERROR(__xludf.DUMMYFUNCTION("""COMPUTED_VALUE"""),"Продление подписки на обновления 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Управление небольшой фирмой 1.6», для работы с маркированным товаром: алкоголь ЕГАИС и товары по штрихкодам  на 1 (один) год</v>
      </c>
      <c r="F34" s="5">
        <f ca="1">IFERROR(__xludf.DUMMYFUNCTION("""COMPUTED_VALUE"""),4770)</f>
        <v>4770</v>
      </c>
    </row>
    <row r="35" spans="1:6" ht="72" customHeight="1" x14ac:dyDescent="0.2">
      <c r="A35" s="4" t="str">
        <f ca="1">IFERROR(__xludf.DUMMYFUNCTION("""COMPUTED_VALUE"""),"«1С: Управление небольшой фирмой 1.6.19»")</f>
        <v>«1С: Управление небольшой фирмой 1.6.19»</v>
      </c>
      <c r="B35" s="4" t="str">
        <f ca="1">IFERROR(__xludf.DUMMYFUNCTION("""COMPUTED_VALUE"""),"с МОТП, БАЗОВЫЙ")</f>
        <v>с МОТП, БАЗОВЫЙ</v>
      </c>
      <c r="C35" s="4" t="str">
        <f ca="1">IFERROR(__xludf.DUMMYFUNCTION("""COMPUTED_VALUE"""),"SSY1-RTL15AT-1CUNF16")</f>
        <v>SSY1-RTL15AT-1CUNF16</v>
      </c>
      <c r="D35" s="4" t="str">
        <f ca="1">IFERROR(__xludf.DUMMYFUNCTION("""COMPUTED_VALUE"""),"Продление подписки на обновления Mobile SMARTS: Магазин 15 с МОТП, БАЗОВЫЙ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нет онл"&amp;"айна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прове"&amp;"рка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Продление подписки на обновления Mobile SMARTS: Магазин 15 с МОТП, БАЗОВЫЙ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" s="4" t="str">
        <f ca="1">IFERROR(__xludf.DUMMYFUNCTION("""COMPUTED_VALUE"""),"Продление подписки на обновления Mobile SMARTS: Магазин 15 с МОТП, БАЗОВЫЙ для «1С: Управление небольшой фирмой 1.6.19»,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Управление небольшой фирмой 1.6.19», для работы с маркированным товаром: ТАБАК и товары по штрихкодам  на 1 (один) год</v>
      </c>
      <c r="F35" s="5">
        <f ca="1">IFERROR(__xludf.DUMMYFUNCTION("""COMPUTED_VALUE"""),2230)</f>
        <v>2230</v>
      </c>
    </row>
    <row r="36" spans="1:6" ht="72" customHeight="1" x14ac:dyDescent="0.2">
      <c r="A36" s="4" t="str">
        <f ca="1">IFERROR(__xludf.DUMMYFUNCTION("""COMPUTED_VALUE"""),"«1С: Управление небольшой фирмой 1.6.19»")</f>
        <v>«1С: Управление небольшой фирмой 1.6.19»</v>
      </c>
      <c r="B36" s="4" t="str">
        <f ca="1">IFERROR(__xludf.DUMMYFUNCTION("""COMPUTED_VALUE"""),"с МОТП, РАСШИРЕННЫЙ")</f>
        <v>с МОТП, РАСШИРЕННЫЙ</v>
      </c>
      <c r="C36" s="4" t="str">
        <f ca="1">IFERROR(__xludf.DUMMYFUNCTION("""COMPUTED_VALUE"""),"SSY1-RTL15BT-1CUNF16")</f>
        <v>SSY1-RTL15BT-1CUNF16</v>
      </c>
      <c r="D36" s="4" t="str">
        <f ca="1">IFERROR(__xludf.DUMMYFUNCTION("""COMPUTED_VALUE"""),"Продление подписки на обновления Mobile SMARTS: Магазин 15 с МОТП, РАСШИРЕННЫЙ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ест"&amp;"ь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п"&amp;"роверка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обме"&amp;"н через Интернет на 1 (один) год")</f>
        <v>Продление подписки на обновления Mobile SMARTS: Магазин 15 с МОТП, РАСШИРЕННЫЙ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" s="4" t="str">
        <f ca="1">IFERROR(__xludf.DUMMYFUNCTION("""COMPUTED_VALUE"""),"Продление подписки на обновления Mobile SMARTS: Магазин 15 с МОТП, РАСШИРЕННЫЙ для «1С: Управление небольшой фирмой 1.6.19»,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Управление небольшой фирмой 1.6.19», для работы с маркированным товаром: ТАБАК и товары по штрихкодам  на 1 (один) год</v>
      </c>
      <c r="F36" s="5">
        <f ca="1">IFERROR(__xludf.DUMMYFUNCTION("""COMPUTED_VALUE"""),3490)</f>
        <v>3490</v>
      </c>
    </row>
    <row r="37" spans="1:6" ht="72" customHeight="1" x14ac:dyDescent="0.2">
      <c r="A37" s="4" t="str">
        <f ca="1">IFERROR(__xludf.DUMMYFUNCTION("""COMPUTED_VALUE"""),"«1С: Управление небольшой фирмой 1.6.19»")</f>
        <v>«1С: Управление небольшой фирмой 1.6.19»</v>
      </c>
      <c r="B37" s="4" t="str">
        <f ca="1">IFERROR(__xludf.DUMMYFUNCTION("""COMPUTED_VALUE"""),"с МОТП, МЕГАМАРКЕТ")</f>
        <v>с МОТП, МЕГАМАРКЕТ</v>
      </c>
      <c r="C37" s="4" t="str">
        <f ca="1">IFERROR(__xludf.DUMMYFUNCTION("""COMPUTED_VALUE"""),"SSY1-RTL15CT-1CUNF16")</f>
        <v>SSY1-RTL15CT-1CUNF16</v>
      </c>
      <c r="D37" s="4" t="str">
        <f ca="1">IFERROR(__xludf.DUMMYFUNCTION("""COMPUTED_VALUE"""),"Продление подписки на обновления Mobile SMARTS: Магазин 15 с МОТП, МЕГАМАРКЕТ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есть"&amp;"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пр"&amp;"оверка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"&amp;"на обновления и обмен через Интернет на 1 (один) год")</f>
        <v>Продление подписки на обновления Mobile SMARTS: Магазин 15 с МОТП, МЕГАМАРКЕТ для «1С: Управление небольшой фирмой 1.6.19»,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" s="4" t="str">
        <f ca="1">IFERROR(__xludf.DUMMYFUNCTION("""COMPUTED_VALUE"""),"Продление подписки на обновления Mobile SMARTS: Магазин 15 с МОТП, МЕГАМАРКЕТ для «1С: Управление небольшой фирмой 1.6.19»,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Управление небольшой фирмой 1.6.19», для работы с маркированным товаром: ТАБАК и товары по штрихкодам  на 1 (один) год</v>
      </c>
      <c r="F37" s="5">
        <f ca="1">IFERROR(__xludf.DUMMYFUNCTION("""COMPUTED_VALUE"""),4770)</f>
        <v>4770</v>
      </c>
    </row>
    <row r="38" spans="1:6" ht="72" customHeight="1" x14ac:dyDescent="0.2">
      <c r="A38" s="4" t="str">
        <f ca="1">IFERROR(__xludf.DUMMYFUNCTION("""COMPUTED_VALUE"""),"«1С: Управление небольшой фирмой 1.6.19»")</f>
        <v>«1С: Управление небольшой фирмой 1.6.19»</v>
      </c>
      <c r="B38" s="4" t="str">
        <f ca="1">IFERROR(__xludf.DUMMYFUNCTION("""COMPUTED_VALUE"""),"с ЕГАИС и МОТП, БАЗОВЫЙ")</f>
        <v>с ЕГАИС и МОТП, БАЗОВЫЙ</v>
      </c>
      <c r="C38" s="4" t="str">
        <f ca="1">IFERROR(__xludf.DUMMYFUNCTION("""COMPUTED_VALUE"""),"SSY1-RTL15AET-1CUNF16")</f>
        <v>SSY1-RTL15AET-1CUNF16</v>
      </c>
      <c r="D38" s="4" t="str">
        <f ca="1">IFERROR(__xludf.DUMMYFUNCTION("""COMPUTED_VALUE"""),"Продление подписки на обновления 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"&amp;"Интернет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т.ч"&amp;".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экра"&amp;"не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" s="4" t="str">
        <f ca="1">IFERROR(__xludf.DUMMYFUNCTION("""COMPUTED_VALUE"""),"Продление подписки на обновления 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Управление небольшой фирмой 1.6.19», для работы с маркированным товаром: АЛКОГОЛЬ, ТАБАК и товары по штрихкодам  на 1 (один) год</v>
      </c>
      <c r="F38" s="5">
        <f ca="1">IFERROR(__xludf.DUMMYFUNCTION("""COMPUTED_VALUE"""),2430)</f>
        <v>2430</v>
      </c>
    </row>
    <row r="39" spans="1:6" ht="72" customHeight="1" x14ac:dyDescent="0.2">
      <c r="A39" s="4" t="str">
        <f ca="1">IFERROR(__xludf.DUMMYFUNCTION("""COMPUTED_VALUE"""),"«1С: Управление небольшой фирмой 1.6.19»")</f>
        <v>«1С: Управление небольшой фирмой 1.6.19»</v>
      </c>
      <c r="B39" s="4" t="str">
        <f ca="1">IFERROR(__xludf.DUMMYFUNCTION("""COMPUTED_VALUE"""),"с ЕГАИС и МОТП, РАСШИРЕННЫЙ")</f>
        <v>с ЕГАИС и МОТП, РАСШИРЕННЫЙ</v>
      </c>
      <c r="C39" s="4" t="str">
        <f ca="1">IFERROR(__xludf.DUMMYFUNCTION("""COMPUTED_VALUE"""),"SSY1-RTL15BET-1CUNF16")</f>
        <v>SSY1-RTL15BET-1CUNF16</v>
      </c>
      <c r="D39" s="4" t="str">
        <f ca="1">IFERROR(__xludf.DUMMYFUNCTION("""COMPUTED_VALUE"""),"Продление подписки на обновления 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че"&amp;"рез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(в"&amp;"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"&amp;"экране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" s="4" t="str">
        <f ca="1">IFERROR(__xludf.DUMMYFUNCTION("""COMPUTED_VALUE"""),"Продление подписки на обновления 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Управление небольшой фирмой 1.6.19», для работы с маркированным товаром: АЛКОГОЛЬ, ТАБАК и товары по штрихкодам  на 1 (один) год</v>
      </c>
      <c r="F39" s="5">
        <f ca="1">IFERROR(__xludf.DUMMYFUNCTION("""COMPUTED_VALUE"""),3710)</f>
        <v>3710</v>
      </c>
    </row>
    <row r="40" spans="1:6" ht="72" customHeight="1" x14ac:dyDescent="0.2">
      <c r="A40" s="4" t="str">
        <f ca="1">IFERROR(__xludf.DUMMYFUNCTION("""COMPUTED_VALUE"""),"«1С: Управление небольшой фирмой 1.6.19»")</f>
        <v>«1С: Управление небольшой фирмой 1.6.19»</v>
      </c>
      <c r="B40" s="4" t="str">
        <f ca="1">IFERROR(__xludf.DUMMYFUNCTION("""COMPUTED_VALUE"""),"с ЕГАИС и МОТП, МЕГАМАРКЕТ")</f>
        <v>с ЕГАИС и МОТП, МЕГАМАРКЕТ</v>
      </c>
      <c r="C40" s="4" t="str">
        <f ca="1">IFERROR(__xludf.DUMMYFUNCTION("""COMPUTED_VALUE"""),"SSY1-RTL15CET-1CUNF16")</f>
        <v>SSY1-RTL15CET-1CUNF16</v>
      </c>
      <c r="D40" s="4" t="str">
        <f ca="1">IFERROR(__xludf.DUMMYFUNCTION("""COMPUTED_VALUE"""),"Продление подписки на обновления 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чер"&amp;"ез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"&amp;"т.ч.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" s="4" t="str">
        <f ca="1">IFERROR(__xludf.DUMMYFUNCTION("""COMPUTED_VALUE"""),"Продление подписки на обновления 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Управление небольшой фирмой 1.6.19», для работы с маркированным товаром: АЛКОГОЛЬ, ТАБАК и товары по штрихкодам  на 1 (один) год</v>
      </c>
      <c r="F40" s="5">
        <f ca="1">IFERROR(__xludf.DUMMYFUNCTION("""COMPUTED_VALUE"""),5270)</f>
        <v>5270</v>
      </c>
    </row>
    <row r="41" spans="1:6" ht="72" customHeight="1" x14ac:dyDescent="0.2">
      <c r="A41" s="4" t="str">
        <f ca="1">IFERROR(__xludf.DUMMYFUNCTION("""COMPUTED_VALUE"""),"«1С: Управление небольшой фирмой 1.6.19»")</f>
        <v>«1С: Управление небольшой фирмой 1.6.19»</v>
      </c>
      <c r="B41" s="4" t="str">
        <f ca="1">IFERROR(__xludf.DUMMYFUNCTION("""COMPUTED_VALUE"""),"ШМОТКИ, БАЗОВЫЙ")</f>
        <v>ШМОТКИ, БАЗОВЫЙ</v>
      </c>
      <c r="C41" s="4" t="str">
        <f ca="1">IFERROR(__xludf.DUMMYFUNCTION("""COMPUTED_VALUE"""),"SSY1-RTL15AK-1CUNF16")</f>
        <v>SSY1-RTL15AK-1CUNF16</v>
      </c>
      <c r="D41" s="4" t="str">
        <f ca="1">IFERROR(__xludf.DUMMYFUNCTION("""COMPUTED_VALUE"""),"Продление подписки на обновления 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че"&amp;"рез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справочн"&amp;"иков,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на"&amp;" обновления и обмен через Интернет на 1 (один) год")</f>
        <v>Продление подписки на обновления 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" s="4" t="str">
        <f ca="1">IFERROR(__xludf.DUMMYFUNCTION("""COMPUTED_VALUE"""),"Продление подписки на обновления 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Управление небольшой фирмой 1.6.19», для работы с маркированным товаром: ОБУВЬ, ОДЕЖДА, ПАРФЮМ, ШИНЫ и товары по штрихкодам  на 1 (один) год</v>
      </c>
      <c r="F41" s="5">
        <f ca="1">IFERROR(__xludf.DUMMYFUNCTION("""COMPUTED_VALUE"""),2430)</f>
        <v>2430</v>
      </c>
    </row>
    <row r="42" spans="1:6" ht="72" customHeight="1" x14ac:dyDescent="0.2">
      <c r="A42" s="4" t="str">
        <f ca="1">IFERROR(__xludf.DUMMYFUNCTION("""COMPUTED_VALUE"""),"«1С: Управление небольшой фирмой 1.6.19»")</f>
        <v>«1С: Управление небольшой фирмой 1.6.19»</v>
      </c>
      <c r="B42" s="4" t="str">
        <f ca="1">IFERROR(__xludf.DUMMYFUNCTION("""COMPUTED_VALUE"""),"ШМОТКИ, РАСШИРЕННЫЙ")</f>
        <v>ШМОТКИ, РАСШИРЕННЫЙ</v>
      </c>
      <c r="C42" s="4" t="str">
        <f ca="1">IFERROR(__xludf.DUMMYFUNCTION("""COMPUTED_VALUE"""),"SSY1-RTL15BK-1CUNF16")</f>
        <v>SSY1-RTL15BK-1CUNF16</v>
      </c>
      <c r="D42" s="4" t="str">
        <f ca="1">IFERROR(__xludf.DUMMYFUNCTION("""COMPUTED_VALUE"""),"Продление подписки на обновления 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обме"&amp;"н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спра"&amp;"вочников,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подписк"&amp;"а на обновления и обмен через Интернет на 1 (один) год")</f>
        <v>Продление подписки на обновления 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" s="4" t="str">
        <f ca="1">IFERROR(__xludf.DUMMYFUNCTION("""COMPUTED_VALUE"""),"Продление подписки на обновления 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«1С: Управление небольшой фирмой 1.6.19», для работы с маркированным товаром: ОБУВЬ, ОДЕЖДА, ПАРФЮМ, ШИНЫ и товары по штрихкодам  на 1 (один) год</v>
      </c>
      <c r="F42" s="5">
        <f ca="1">IFERROR(__xludf.DUMMYFUNCTION("""COMPUTED_VALUE"""),3710)</f>
        <v>3710</v>
      </c>
    </row>
    <row r="43" spans="1:6" ht="72" customHeight="1" x14ac:dyDescent="0.2">
      <c r="A43" s="4" t="str">
        <f ca="1">IFERROR(__xludf.DUMMYFUNCTION("""COMPUTED_VALUE"""),"«1С: Управление небольшой фирмой 1.6.19»")</f>
        <v>«1С: Управление небольшой фирмой 1.6.19»</v>
      </c>
      <c r="B43" s="4" t="str">
        <f ca="1">IFERROR(__xludf.DUMMYFUNCTION("""COMPUTED_VALUE"""),"ШМОТКИ, МЕГАМАРКЕТ")</f>
        <v>ШМОТКИ, МЕГАМАРКЕТ</v>
      </c>
      <c r="C43" s="4" t="str">
        <f ca="1">IFERROR(__xludf.DUMMYFUNCTION("""COMPUTED_VALUE"""),"SSY1-RTL15CK-1CUNF16")</f>
        <v>SSY1-RTL15CK-1CUNF16</v>
      </c>
      <c r="D43" s="4" t="str">
        <f ca="1">IFERROR(__xludf.DUMMYFUNCTION("""COMPUTED_VALUE"""),"Продление подписки на обновления 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обмен"&amp;"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справ"&amp;"очников,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моб."&amp;" устройство, подписка на обновления и обмен через Интернет на 1 (один) год")</f>
        <v>Продление подписки на обновления 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" s="4" t="str">
        <f ca="1">IFERROR(__xludf.DUMMYFUNCTION("""COMPUTED_VALUE"""),"Продление подписки на обновления 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«1С: Управление небольшой фирмой 1.6.19», для работы с маркированным товаром: ОБУВЬ, ОДЕЖДА, ПАРФЮМ, ШИНЫ и товары по штрихкодам  на 1 (один) год</v>
      </c>
      <c r="F43" s="5">
        <f ca="1">IFERROR(__xludf.DUMMYFUNCTION("""COMPUTED_VALUE"""),5270)</f>
        <v>5270</v>
      </c>
    </row>
    <row r="44" spans="1:6" ht="72" customHeight="1" x14ac:dyDescent="0.2">
      <c r="A44" s="4" t="str">
        <f ca="1">IFERROR(__xludf.DUMMYFUNCTION("""COMPUTED_VALUE"""),"«1С: Управление небольшой фирмой 1.6.19»")</f>
        <v>«1С: Управление небольшой фирмой 1.6.19»</v>
      </c>
      <c r="B44" s="4" t="str">
        <f ca="1">IFERROR(__xludf.DUMMYFUNCTION("""COMPUTED_VALUE"""),"ПРОДУКТОВЫЙ, БАЗОВЫЙ")</f>
        <v>ПРОДУКТОВЫЙ, БАЗОВЫЙ</v>
      </c>
      <c r="C44" s="4" t="str">
        <f ca="1">IFERROR(__xludf.DUMMYFUNCTION("""COMPUTED_VALUE"""),"SSY1-RTL15AG-1CUNF16")</f>
        <v>SSY1-RTL15AG-1CUNF16</v>
      </c>
      <c r="D44" s="4" t="str">
        <f ca="1">IFERROR(__xludf.DUMMYFUNCTION("""COMPUTED_VALUE"""),"Продление подписки на обновления 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в"&amp;"ыбор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прин"&amp;"тер),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ск"&amp;"ладах,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" s="4" t="str">
        <f ca="1">IFERROR(__xludf.DUMMYFUNCTION("""COMPUTED_VALUE"""),"Продление подписки на обновления 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 на 1 "&amp;"(один) год")</f>
        <v>Продление подписки на обновления Mobile SMARTS: Магазин 15 ПРОДУКТОВЫЙ, БАЗОВЫЙ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 на 1 (один) год</v>
      </c>
      <c r="F44" s="5">
        <f ca="1">IFERROR(__xludf.DUMMYFUNCTION("""COMPUTED_VALUE"""),2910)</f>
        <v>2910</v>
      </c>
    </row>
    <row r="45" spans="1:6" ht="72" customHeight="1" x14ac:dyDescent="0.2">
      <c r="A45" s="4" t="str">
        <f ca="1">IFERROR(__xludf.DUMMYFUNCTION("""COMPUTED_VALUE"""),"«1С: Управление небольшой фирмой 1.6.19»")</f>
        <v>«1С: Управление небольшой фирмой 1.6.19»</v>
      </c>
      <c r="B45" s="4" t="str">
        <f ca="1">IFERROR(__xludf.DUMMYFUNCTION("""COMPUTED_VALUE"""),"ПРОДУКТОВЫЙ, РАСШИРЕННЫЙ")</f>
        <v>ПРОДУКТОВЫЙ, РАСШИРЕННЫЙ</v>
      </c>
      <c r="C45" s="4" t="str">
        <f ca="1">IFERROR(__xludf.DUMMYFUNCTION("""COMPUTED_VALUE"""),"SSY1-RTL15BG-1CUNF16")</f>
        <v>SSY1-RTL15BG-1CUNF16</v>
      </c>
      <c r="D45" s="4" t="str">
        <f ca="1">IFERROR(__xludf.DUMMYFUNCTION("""COMPUTED_VALUE"""),"Продление подписки на обновления 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"&amp;"на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"&amp;"принтер),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товаре"&amp;",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" s="4" t="str">
        <f ca="1">IFERROR(__xludf.DUMMYFUNCTION("""COMPUTED_VALUE"""),"Продление подписки на обновления 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 н"&amp;"а 1 (один) год")</f>
        <v>Продление подписки на обновления Mobile SMARTS: Магазин 15 ПРОДУКТОВЫЙ, РАСШИРЕННЫЙ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 на 1 (один) год</v>
      </c>
      <c r="F45" s="5">
        <f ca="1">IFERROR(__xludf.DUMMYFUNCTION("""COMPUTED_VALUE"""),4190)</f>
        <v>4190</v>
      </c>
    </row>
    <row r="46" spans="1:6" ht="72" customHeight="1" x14ac:dyDescent="0.2">
      <c r="A46" s="4" t="str">
        <f ca="1">IFERROR(__xludf.DUMMYFUNCTION("""COMPUTED_VALUE"""),"«1С: Управление небольшой фирмой 1.6.19»")</f>
        <v>«1С: Управление небольшой фирмой 1.6.19»</v>
      </c>
      <c r="B46" s="4" t="str">
        <f ca="1">IFERROR(__xludf.DUMMYFUNCTION("""COMPUTED_VALUE"""),"ПРОДУКТОВЫЙ, МЕГАМАРКЕТ")</f>
        <v>ПРОДУКТОВЫЙ, МЕГАМАРКЕТ</v>
      </c>
      <c r="C46" s="4" t="str">
        <f ca="1">IFERROR(__xludf.DUMMYFUNCTION("""COMPUTED_VALUE"""),"SSY1-RTL15CG-1CUNF16")</f>
        <v>SSY1-RTL15CG-1CUNF16</v>
      </c>
      <c r="D46" s="4" t="str">
        <f ca="1">IFERROR(__xludf.DUMMYFUNCTION("""COMPUTED_VALUE"""),"Продление подписки на обновления 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н"&amp;"а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п"&amp;"ринтер),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Продление подписки на обновления 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" s="4" t="str">
        <f ca="1">IFERROR(__xludf.DUMMYFUNCTION("""COMPUTED_VALUE"""),"Продление подписки на обновления 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 на"&amp;" 1 (один) год")</f>
        <v>Продление подписки на обновления Mobile SMARTS: Магазин 15 ПРОДУКТОВЫЙ, МЕГАМАРКЕТ для «1С: Управление небольшой фирмой 1.6.19», для работы с маркированным товаром: АЛКОГОЛЬ, ПИВО, ТАБАК, МОЛОКО, ВОДА, ОДЕЖДА, ОБУВЬ, ДУХИ, ШИНЫ и товаром по штрихкодам  на 1 (один) год</v>
      </c>
      <c r="F46" s="5">
        <f ca="1">IFERROR(__xludf.DUMMYFUNCTION("""COMPUTED_VALUE"""),5650)</f>
        <v>5650</v>
      </c>
    </row>
    <row r="47" spans="1:6" ht="72" customHeight="1" x14ac:dyDescent="0.2">
      <c r="A47" s="4" t="str">
        <f ca="1">IFERROR(__xludf.DUMMYFUNCTION("""COMPUTED_VALUE"""),"«1С: ERP Управление предприятием 2.2»")</f>
        <v>«1С: ERP Управление предприятием 2.2»</v>
      </c>
      <c r="B47" s="4" t="str">
        <f ca="1">IFERROR(__xludf.DUMMYFUNCTION("""COMPUTED_VALUE"""),"МИНИМУМ")</f>
        <v>МИНИМУМ</v>
      </c>
      <c r="C47" s="4" t="str">
        <f ca="1">IFERROR(__xludf.DUMMYFUNCTION("""COMPUTED_VALUE"""),"SSY1-RTL15M-1CERP22")</f>
        <v>SSY1-RTL15M-1CERP22</v>
      </c>
      <c r="D47" s="4" t="str">
        <f ca="1">IFERROR(__xludf.DUMMYFUNCTION("""COMPUTED_VALUE"""),"Продление подписки на обновления Mobile SMARTS: Магазин 15, МИНИМУМ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сбор штрихкод"&amp;"ов,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обновле"&amp;"ния и обмен через Интернет на 1 (один) год")</f>
        <v>Продление подписки на обновления Mobile SMARTS: Магазин 15, МИНИМУМ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7" s="4" t="str">
        <f ca="1">IFERROR(__xludf.DUMMYFUNCTION("""COMPUTED_VALUE"""),"Продление подписки на обновления Mobile SMARTS: Магазин 15, МИНИМУМ для «1С: ERP Управление предприятием 2.2», для работы с товаром по штрихкодам  на 1 (один) год")</f>
        <v>Продление подписки на обновления Mobile SMARTS: Магазин 15, МИНИМУМ для «1С: ERP Управление предприятием 2.2», для работы с товаром по штрихкодам  на 1 (один) год</v>
      </c>
      <c r="F47" s="5">
        <f ca="1">IFERROR(__xludf.DUMMYFUNCTION("""COMPUTED_VALUE"""),690)</f>
        <v>690</v>
      </c>
    </row>
    <row r="48" spans="1:6" ht="72" customHeight="1" x14ac:dyDescent="0.2">
      <c r="A48" s="4" t="str">
        <f ca="1">IFERROR(__xludf.DUMMYFUNCTION("""COMPUTED_VALUE"""),"«1С: ERP Управление предприятием 2.2»")</f>
        <v>«1С: ERP Управление предприятием 2.2»</v>
      </c>
      <c r="B48" s="4" t="str">
        <f ca="1">IFERROR(__xludf.DUMMYFUNCTION("""COMPUTED_VALUE"""),"БАЗОВЫЙ")</f>
        <v>БАЗОВЫЙ</v>
      </c>
      <c r="C48" s="4" t="str">
        <f ca="1">IFERROR(__xludf.DUMMYFUNCTION("""COMPUTED_VALUE"""),"SSY1-RTL15A-1CERP22")</f>
        <v>SSY1-RTL15A-1CERP22</v>
      </c>
      <c r="D48" s="4" t="str">
        <f ca="1">IFERROR(__xludf.DUMMYFUNCTION("""COMPUTED_VALUE"""),"Продление подписки на обновления Mobile SMARTS: Магазин 15, БАЗОВЫЙ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поступление, "&amp;"инвентаризация,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ERP Управление предприятием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" s="4" t="str">
        <f ca="1">IFERROR(__xludf.DUMMYFUNCTION("""COMPUTED_VALUE"""),"Продление подписки на обновления Mobile SMARTS: Магазин 15, БАЗОВЫЙ для «1С: ERP Управление предприятием 2.2», для работы с товаром по штрихкодам  на 1 (один) год")</f>
        <v>Продление подписки на обновления Mobile SMARTS: Магазин 15, БАЗОВЫЙ для «1С: ERP Управление предприятием 2.2», для работы с товаром по штрихкодам  на 1 (один) год</v>
      </c>
      <c r="F48" s="5">
        <f ca="1">IFERROR(__xludf.DUMMYFUNCTION("""COMPUTED_VALUE"""),1730)</f>
        <v>1730</v>
      </c>
    </row>
    <row r="49" spans="1:6" ht="72" customHeight="1" x14ac:dyDescent="0.2">
      <c r="A49" s="4" t="str">
        <f ca="1">IFERROR(__xludf.DUMMYFUNCTION("""COMPUTED_VALUE"""),"«1С: ERP Управление предприятием 2.2»")</f>
        <v>«1С: ERP Управление предприятием 2.2»</v>
      </c>
      <c r="B49" s="4" t="str">
        <f ca="1">IFERROR(__xludf.DUMMYFUNCTION("""COMPUTED_VALUE"""),"РАСШИРЕННЫЙ")</f>
        <v>РАСШИРЕННЫЙ</v>
      </c>
      <c r="C49" s="4" t="str">
        <f ca="1">IFERROR(__xludf.DUMMYFUNCTION("""COMPUTED_VALUE"""),"SSY1-RTL15B-1CERP22")</f>
        <v>SSY1-RTL15B-1CERP22</v>
      </c>
      <c r="D49" s="4" t="str">
        <f ca="1">IFERROR(__xludf.DUMMYFUNCTION("""COMPUTED_VALUE"""),"Продление подписки на обновления Mobile SMARTS: Магазин 15, РАСШИРЕННЫЙ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поступлен"&amp;"ие,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" s="4" t="str">
        <f ca="1">IFERROR(__xludf.DUMMYFUNCTION("""COMPUTED_VALUE"""),"Продление подписки на обновления Mobile SMARTS: Магазин 15, РАСШИРЕННЫЙ для «1С: ERP Управление предприятием 2.2», для работы с товаром по штрихкодам  на 1 (один) год")</f>
        <v>Продление подписки на обновления Mobile SMARTS: Магазин 15, РАСШИРЕННЫЙ для «1С: ERP Управление предприятием 2.2», для работы с товаром по штрихкодам  на 1 (один) год</v>
      </c>
      <c r="F49" s="5">
        <f ca="1">IFERROR(__xludf.DUMMYFUNCTION("""COMPUTED_VALUE"""),3010)</f>
        <v>3010</v>
      </c>
    </row>
    <row r="50" spans="1:6" ht="72" customHeight="1" x14ac:dyDescent="0.2">
      <c r="A50" s="4" t="str">
        <f ca="1">IFERROR(__xludf.DUMMYFUNCTION("""COMPUTED_VALUE"""),"«1С: ERP Управление предприятием 2.2»")</f>
        <v>«1С: ERP Управление предприятием 2.2»</v>
      </c>
      <c r="B50" s="4" t="str">
        <f ca="1">IFERROR(__xludf.DUMMYFUNCTION("""COMPUTED_VALUE"""),"МЕГАМАРКЕТ")</f>
        <v>МЕГАМАРКЕТ</v>
      </c>
      <c r="C50" s="4" t="str">
        <f ca="1">IFERROR(__xludf.DUMMYFUNCTION("""COMPUTED_VALUE"""),"SSY1-RTL15C-1CERP22")</f>
        <v>SSY1-RTL15C-1CERP22</v>
      </c>
      <c r="D50" s="4" t="str">
        <f ca="1">IFERROR(__xludf.DUMMYFUNCTION("""COMPUTED_VALUE"""),"Продление подписки на обновления Mobile SMARTS: Магазин 15, МЕГАМАРКЕТ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поступлени"&amp;"е,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ERP Управление предприятием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" s="4" t="str">
        <f ca="1">IFERROR(__xludf.DUMMYFUNCTION("""COMPUTED_VALUE"""),"Продление подписки на обновления Mobile SMARTS: Магазин 15, МЕГАМАРКЕТ для «1С: ERP Управление предприятием 2.2», для работы с товаром по штрихкодам  на 1 (один) год")</f>
        <v>Продление подписки на обновления Mobile SMARTS: Магазин 15, МЕГАМАРКЕТ для «1С: ERP Управление предприятием 2.2», для работы с товаром по штрихкодам  на 1 (один) год</v>
      </c>
      <c r="F50" s="5">
        <f ca="1">IFERROR(__xludf.DUMMYFUNCTION("""COMPUTED_VALUE"""),4310)</f>
        <v>4310</v>
      </c>
    </row>
    <row r="51" spans="1:6" ht="72" customHeight="1" x14ac:dyDescent="0.2">
      <c r="A51" s="4" t="str">
        <f ca="1">IFERROR(__xludf.DUMMYFUNCTION("""COMPUTED_VALUE"""),"«1С: ERP Управление предприятием 2.2»")</f>
        <v>«1С: ERP Управление предприятием 2.2»</v>
      </c>
      <c r="B51" s="4" t="str">
        <f ca="1">IFERROR(__xludf.DUMMYFUNCTION("""COMPUTED_VALUE"""),"с ЕГАИС, БАЗОВЫЙ")</f>
        <v>с ЕГАИС, БАЗОВЫЙ</v>
      </c>
      <c r="C51" s="4" t="str">
        <f ca="1">IFERROR(__xludf.DUMMYFUNCTION("""COMPUTED_VALUE"""),"SSY1-RTL15AE-1CERP22")</f>
        <v>SSY1-RTL15AE-1CERP22</v>
      </c>
      <c r="D51" s="4" t="str">
        <f ca="1">IFERROR(__xludf.DUMMYFUNCTION("""COMPUTED_VALUE"""),"Продление подписки на обновления Mobile SMARTS: Магазин 15 с ЕГАИС, БАЗОВЫЙ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"&amp;"нет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"&amp;"печать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"&amp;"Интернет на 1 (один) год")</f>
        <v>Продление подписки на обновления Mobile SMARTS: Магазин 15 с ЕГАИС, БАЗОВЫЙ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1" s="4" t="str">
        <f ca="1">IFERROR(__xludf.DUMMYFUNCTION("""COMPUTED_VALUE"""),"Продление подписки на обновления Mobile SMARTS: Магазин 15 с ЕГАИС, БАЗОВЫЙ для «1С: ERP Управление предприятием 2.2»,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ERP Управление предприятием 2.2», для работы с маркированным товаром: алкоголь ЕГАИС и товары по штрихкодам  на 1 (один) год</v>
      </c>
      <c r="F51" s="5">
        <f ca="1">IFERROR(__xludf.DUMMYFUNCTION("""COMPUTED_VALUE"""),2200)</f>
        <v>2200</v>
      </c>
    </row>
    <row r="52" spans="1:6" ht="72" customHeight="1" x14ac:dyDescent="0.2">
      <c r="A52" s="4" t="str">
        <f ca="1">IFERROR(__xludf.DUMMYFUNCTION("""COMPUTED_VALUE"""),"«1С: ERP Управление предприятием 2.2»")</f>
        <v>«1С: ERP Управление предприятием 2.2»</v>
      </c>
      <c r="B52" s="4" t="str">
        <f ca="1">IFERROR(__xludf.DUMMYFUNCTION("""COMPUTED_VALUE"""),"с ЕГАИС, РАСШИРЕННЫЙ")</f>
        <v>с ЕГАИС, РАСШИРЕННЫЙ</v>
      </c>
      <c r="C52" s="4" t="str">
        <f ca="1">IFERROR(__xludf.DUMMYFUNCTION("""COMPUTED_VALUE"""),"SSY1-RTL15BE-1CERP22")</f>
        <v>SSY1-RTL15BE-1CERP22</v>
      </c>
      <c r="D52" s="4" t="str">
        <f ca="1">IFERROR(__xludf.DUMMYFUNCTION("""COMPUTED_VALUE"""),"Продление подписки на обновления Mobile SMARTS: Магазин 15 с ЕГАИС, РАСШИРЕННЫЙ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Интерне"&amp;"т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возможнос"&amp;"ти: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обм"&amp;"ен через Интернет на 1 (один) год")</f>
        <v>Продление подписки на обновления Mobile SMARTS: Магазин 15 с ЕГАИС, РАСШИРЕННЫЙ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2" s="4" t="str">
        <f ca="1">IFERROR(__xludf.DUMMYFUNCTION("""COMPUTED_VALUE"""),"Продление подписки на обновления Mobile SMARTS: Магазин 15 с ЕГАИС, РАСШИРЕННЫЙ для «1С: ERP Управление предприятием 2.2»,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ERP Управление предприятием 2.2», для работы с маркированным товаром: алкоголь ЕГАИС и товары по штрихкодам  на 1 (один) год</v>
      </c>
      <c r="F52" s="5">
        <f ca="1">IFERROR(__xludf.DUMMYFUNCTION("""COMPUTED_VALUE"""),3490)</f>
        <v>3490</v>
      </c>
    </row>
    <row r="53" spans="1:6" ht="72" customHeight="1" x14ac:dyDescent="0.2">
      <c r="A53" s="4" t="str">
        <f ca="1">IFERROR(__xludf.DUMMYFUNCTION("""COMPUTED_VALUE"""),"«1С: ERP Управление предприятием 2.2»")</f>
        <v>«1С: ERP Управление предприятием 2.2»</v>
      </c>
      <c r="B53" s="4" t="str">
        <f ca="1">IFERROR(__xludf.DUMMYFUNCTION("""COMPUTED_VALUE"""),"с ЕГАИС (без CheckMark2), МЕГАМАРКЕТ")</f>
        <v>с ЕГАИС (без CheckMark2), МЕГАМАРКЕТ</v>
      </c>
      <c r="C53" s="4" t="str">
        <f ca="1">IFERROR(__xludf.DUMMYFUNCTION("""COMPUTED_VALUE"""),"SSY1-RTL15CEV-1CERP22")</f>
        <v>SSY1-RTL15CEV-1CERP22</v>
      </c>
      <c r="D53" s="4" t="str">
        <f ca="1">IFERROR(__xludf.DUMMYFUNCTION("""COMPUTED_VALUE"""),"Продление подписки на обновления 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QR-к"&amp;"одов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устр"&amp;"ойство,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" s="4" t="str">
        <f ca="1">IFERROR(__xludf.DUMMYFUNCTION("""COMPUTED_VALUE"""),"Продление подписки на обновления 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ERP Управление предприятием 2.2», для работы с маркированным товаром: алкоголь ЕГАИС и товары по штрихкодам  на 1 (один) год</v>
      </c>
      <c r="F53" s="5">
        <f ca="1">IFERROR(__xludf.DUMMYFUNCTION("""COMPUTED_VALUE"""),4770)</f>
        <v>4770</v>
      </c>
    </row>
    <row r="54" spans="1:6" ht="72" customHeight="1" x14ac:dyDescent="0.2">
      <c r="A54" s="4" t="str">
        <f ca="1">IFERROR(__xludf.DUMMYFUNCTION("""COMPUTED_VALUE"""),"«1С: ERP Управление предприятием 2.4»")</f>
        <v>«1С: ERP Управление предприятием 2.4»</v>
      </c>
      <c r="B54" s="4" t="str">
        <f ca="1">IFERROR(__xludf.DUMMYFUNCTION("""COMPUTED_VALUE"""),"МИНИМУМ")</f>
        <v>МИНИМУМ</v>
      </c>
      <c r="C54" s="4" t="str">
        <f ca="1">IFERROR(__xludf.DUMMYFUNCTION("""COMPUTED_VALUE"""),"SSY1-RTL15M-1CERP24")</f>
        <v>SSY1-RTL15M-1CERP24</v>
      </c>
      <c r="D54" s="4" t="str">
        <f ca="1">IFERROR(__xludf.DUMMYFUNCTION("""COMPUTED_VALUE"""),"Продление подписки на обновления Mobile SMARTS: Магазин 15, МИНИМУМ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сбор штрихкод"&amp;"ов,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обновле"&amp;"ния и обмен через Интернет на 1 (один) год")</f>
        <v>Продление подписки на обновления Mobile SMARTS: Магазин 15, МИНИМУМ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4" s="4" t="str">
        <f ca="1">IFERROR(__xludf.DUMMYFUNCTION("""COMPUTED_VALUE"""),"Продление подписки на обновления Mobile SMARTS: Магазин 15, МИНИМУМ для «1С: ERP Управление предприятием 2.4», для работы с товаром по штрихкодам  на 1 (один) год")</f>
        <v>Продление подписки на обновления Mobile SMARTS: Магазин 15, МИНИМУМ для «1С: ERP Управление предприятием 2.4», для работы с товаром по штрихкодам  на 1 (один) год</v>
      </c>
      <c r="F54" s="5">
        <f ca="1">IFERROR(__xludf.DUMMYFUNCTION("""COMPUTED_VALUE"""),690)</f>
        <v>690</v>
      </c>
    </row>
    <row r="55" spans="1:6" ht="72" customHeight="1" x14ac:dyDescent="0.2">
      <c r="A55" s="4" t="str">
        <f ca="1">IFERROR(__xludf.DUMMYFUNCTION("""COMPUTED_VALUE"""),"«1С: ERP Управление предприятием 2.4»")</f>
        <v>«1С: ERP Управление предприятием 2.4»</v>
      </c>
      <c r="B55" s="4" t="str">
        <f ca="1">IFERROR(__xludf.DUMMYFUNCTION("""COMPUTED_VALUE"""),"БАЗОВЫЙ")</f>
        <v>БАЗОВЫЙ</v>
      </c>
      <c r="C55" s="4" t="str">
        <f ca="1">IFERROR(__xludf.DUMMYFUNCTION("""COMPUTED_VALUE"""),"SSY1-RTL15A-1CERP24")</f>
        <v>SSY1-RTL15A-1CERP24</v>
      </c>
      <c r="D55" s="4" t="str">
        <f ca="1">IFERROR(__xludf.DUMMYFUNCTION("""COMPUTED_VALUE"""),"Продление подписки на обновления Mobile SMARTS: Магазин 15, БАЗОВЫЙ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поступление, "&amp;"инвентаризация,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ERP Управление предприятием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5" s="4" t="str">
        <f ca="1">IFERROR(__xludf.DUMMYFUNCTION("""COMPUTED_VALUE"""),"Продление подписки на обновления Mobile SMARTS: Магазин 15, БАЗОВЫЙ для «1С: ERP Управление предприятием 2.4», для работы с товаром по штрихкодам  на 1 (один) год")</f>
        <v>Продление подписки на обновления Mobile SMARTS: Магазин 15, БАЗОВЫЙ для «1С: ERP Управление предприятием 2.4», для работы с товаром по штрихкодам  на 1 (один) год</v>
      </c>
      <c r="F55" s="5">
        <f ca="1">IFERROR(__xludf.DUMMYFUNCTION("""COMPUTED_VALUE"""),1730)</f>
        <v>1730</v>
      </c>
    </row>
    <row r="56" spans="1:6" ht="72" customHeight="1" x14ac:dyDescent="0.2">
      <c r="A56" s="4" t="str">
        <f ca="1">IFERROR(__xludf.DUMMYFUNCTION("""COMPUTED_VALUE"""),"«1С: ERP Управление предприятием 2.4»")</f>
        <v>«1С: ERP Управление предприятием 2.4»</v>
      </c>
      <c r="B56" s="4" t="str">
        <f ca="1">IFERROR(__xludf.DUMMYFUNCTION("""COMPUTED_VALUE"""),"РАСШИРЕННЫЙ")</f>
        <v>РАСШИРЕННЫЙ</v>
      </c>
      <c r="C56" s="4" t="str">
        <f ca="1">IFERROR(__xludf.DUMMYFUNCTION("""COMPUTED_VALUE"""),"SSY1-RTL15B-1CERP24")</f>
        <v>SSY1-RTL15B-1CERP24</v>
      </c>
      <c r="D56" s="4" t="str">
        <f ca="1">IFERROR(__xludf.DUMMYFUNCTION("""COMPUTED_VALUE"""),"Продление подписки на обновления Mobile SMARTS: Магазин 15, РАСШИРЕННЫЙ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поступлен"&amp;"ие,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" s="4" t="str">
        <f ca="1">IFERROR(__xludf.DUMMYFUNCTION("""COMPUTED_VALUE"""),"Продление подписки на обновления Mobile SMARTS: Магазин 15, РАСШИРЕННЫЙ для «1С: ERP Управление предприятием 2.4», для работы с товаром по штрихкодам  на 1 (один) год")</f>
        <v>Продление подписки на обновления Mobile SMARTS: Магазин 15, РАСШИРЕННЫЙ для «1С: ERP Управление предприятием 2.4», для работы с товаром по штрихкодам  на 1 (один) год</v>
      </c>
      <c r="F56" s="5">
        <f ca="1">IFERROR(__xludf.DUMMYFUNCTION("""COMPUTED_VALUE"""),3010)</f>
        <v>3010</v>
      </c>
    </row>
    <row r="57" spans="1:6" ht="72" customHeight="1" x14ac:dyDescent="0.2">
      <c r="A57" s="4" t="str">
        <f ca="1">IFERROR(__xludf.DUMMYFUNCTION("""COMPUTED_VALUE"""),"«1С: ERP Управление предприятием 2.4»")</f>
        <v>«1С: ERP Управление предприятием 2.4»</v>
      </c>
      <c r="B57" s="4" t="str">
        <f ca="1">IFERROR(__xludf.DUMMYFUNCTION("""COMPUTED_VALUE"""),"МЕГАМАРКЕТ")</f>
        <v>МЕГАМАРКЕТ</v>
      </c>
      <c r="C57" s="4" t="str">
        <f ca="1">IFERROR(__xludf.DUMMYFUNCTION("""COMPUTED_VALUE"""),"SSY1-RTL15C-1CERP24")</f>
        <v>SSY1-RTL15C-1CERP24</v>
      </c>
      <c r="D57" s="4" t="str">
        <f ca="1">IFERROR(__xludf.DUMMYFUNCTION("""COMPUTED_VALUE"""),"Продление подписки на обновления Mobile SMARTS: Магазин 15, МЕГАМАРКЕТ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поступлени"&amp;"е,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ERP Управление предприятием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" s="4" t="str">
        <f ca="1">IFERROR(__xludf.DUMMYFUNCTION("""COMPUTED_VALUE"""),"Продление подписки на обновления Mobile SMARTS: Магазин 15, МЕГАМАРКЕТ для «1С: ERP Управление предприятием 2.4», для работы с товаром по штрихкодам  на 1 (один) год")</f>
        <v>Продление подписки на обновления Mobile SMARTS: Магазин 15, МЕГАМАРКЕТ для «1С: ERP Управление предприятием 2.4», для работы с товаром по штрихкодам  на 1 (один) год</v>
      </c>
      <c r="F57" s="5">
        <f ca="1">IFERROR(__xludf.DUMMYFUNCTION("""COMPUTED_VALUE"""),4310)</f>
        <v>4310</v>
      </c>
    </row>
    <row r="58" spans="1:6" ht="72" customHeight="1" x14ac:dyDescent="0.2">
      <c r="A58" s="4" t="str">
        <f ca="1">IFERROR(__xludf.DUMMYFUNCTION("""COMPUTED_VALUE"""),"«1С: ERP Управление предприятием 2.4»")</f>
        <v>«1С: ERP Управление предприятием 2.4»</v>
      </c>
      <c r="B58" s="4" t="str">
        <f ca="1">IFERROR(__xludf.DUMMYFUNCTION("""COMPUTED_VALUE"""),"с ЕГАИС, БАЗОВЫЙ")</f>
        <v>с ЕГАИС, БАЗОВЫЙ</v>
      </c>
      <c r="C58" s="4" t="str">
        <f ca="1">IFERROR(__xludf.DUMMYFUNCTION("""COMPUTED_VALUE"""),"SSY1-RTL15AE-1CERP24")</f>
        <v>SSY1-RTL15AE-1CERP24</v>
      </c>
      <c r="D58" s="4" t="str">
        <f ca="1">IFERROR(__xludf.DUMMYFUNCTION("""COMPUTED_VALUE"""),"Продление подписки на обновления Mobile SMARTS: Магазин 15 с ЕГАИС, БАЗОВЫЙ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"&amp;"нет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"&amp;"печать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"&amp;"Интернет на 1 (один) год")</f>
        <v>Продление подписки на обновления Mobile SMARTS: Магазин 15 с ЕГАИС, БАЗОВЫЙ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8" s="4" t="str">
        <f ca="1">IFERROR(__xludf.DUMMYFUNCTION("""COMPUTED_VALUE"""),"Продление подписки на обновления Mobile SMARTS: Магазин 15 с ЕГАИС, БАЗОВЫЙ для «1С: ERP Управление предприятием 2.4»,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ERP Управление предприятием 2.4», для работы с маркированным товаром: алкоголь ЕГАИС и товары по штрихкодам  на 1 (один) год</v>
      </c>
      <c r="F58" s="5">
        <f ca="1">IFERROR(__xludf.DUMMYFUNCTION("""COMPUTED_VALUE"""),2200)</f>
        <v>2200</v>
      </c>
    </row>
    <row r="59" spans="1:6" ht="72" customHeight="1" x14ac:dyDescent="0.2">
      <c r="A59" s="4" t="str">
        <f ca="1">IFERROR(__xludf.DUMMYFUNCTION("""COMPUTED_VALUE"""),"«1С: ERP Управление предприятием 2.4»")</f>
        <v>«1С: ERP Управление предприятием 2.4»</v>
      </c>
      <c r="B59" s="4" t="str">
        <f ca="1">IFERROR(__xludf.DUMMYFUNCTION("""COMPUTED_VALUE"""),"с ЕГАИС, РАСШИРЕННЫЙ")</f>
        <v>с ЕГАИС, РАСШИРЕННЫЙ</v>
      </c>
      <c r="C59" s="4" t="str">
        <f ca="1">IFERROR(__xludf.DUMMYFUNCTION("""COMPUTED_VALUE"""),"SSY1-RTL15BE-1CERP24")</f>
        <v>SSY1-RTL15BE-1CERP24</v>
      </c>
      <c r="D59" s="4" t="str">
        <f ca="1">IFERROR(__xludf.DUMMYFUNCTION("""COMPUTED_VALUE"""),"Продление подписки на обновления Mobile SMARTS: Магазин 15 с ЕГАИС, РАСШИРЕННЫЙ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Интерне"&amp;"т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возможнос"&amp;"ти: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обм"&amp;"ен через Интернет на 1 (один) год")</f>
        <v>Продление подписки на обновления Mobile SMARTS: Магазин 15 с ЕГАИС, РАСШИРЕННЫЙ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" s="4" t="str">
        <f ca="1">IFERROR(__xludf.DUMMYFUNCTION("""COMPUTED_VALUE"""),"Продление подписки на обновления Mobile SMARTS: Магазин 15 с ЕГАИС, РАСШИРЕННЫЙ для «1С: ERP Управление предприятием 2.4»,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ERP Управление предприятием 2.4», для работы с маркированным товаром: алкоголь ЕГАИС и товары по штрихкодам  на 1 (один) год</v>
      </c>
      <c r="F59" s="5">
        <f ca="1">IFERROR(__xludf.DUMMYFUNCTION("""COMPUTED_VALUE"""),3490)</f>
        <v>3490</v>
      </c>
    </row>
    <row r="60" spans="1:6" ht="72" customHeight="1" x14ac:dyDescent="0.2">
      <c r="A60" s="4" t="str">
        <f ca="1">IFERROR(__xludf.DUMMYFUNCTION("""COMPUTED_VALUE"""),"«1С: ERP Управление предприятием 2.4»")</f>
        <v>«1С: ERP Управление предприятием 2.4»</v>
      </c>
      <c r="B60" s="4" t="str">
        <f ca="1">IFERROR(__xludf.DUMMYFUNCTION("""COMPUTED_VALUE"""),"с ЕГАИС (без CheckMark2), МЕГАМАРКЕТ")</f>
        <v>с ЕГАИС (без CheckMark2), МЕГАМАРКЕТ</v>
      </c>
      <c r="C60" s="4" t="str">
        <f ca="1">IFERROR(__xludf.DUMMYFUNCTION("""COMPUTED_VALUE"""),"SSY1-RTL15CEV-1CERP24")</f>
        <v>SSY1-RTL15CEV-1CERP24</v>
      </c>
      <c r="D60" s="4" t="str">
        <f ca="1">IFERROR(__xludf.DUMMYFUNCTION("""COMPUTED_VALUE"""),"Продление подписки на обновления 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QR-к"&amp;"одов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устр"&amp;"ойство,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" s="4" t="str">
        <f ca="1">IFERROR(__xludf.DUMMYFUNCTION("""COMPUTED_VALUE"""),"Продление подписки на обновления 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ERP Управление предприятием 2.4», для работы с маркированным товаром: алкоголь ЕГАИС и товары по штрихкодам  на 1 (один) год</v>
      </c>
      <c r="F60" s="5">
        <f ca="1">IFERROR(__xludf.DUMMYFUNCTION("""COMPUTED_VALUE"""),4770)</f>
        <v>4770</v>
      </c>
    </row>
    <row r="61" spans="1:6" ht="72" customHeight="1" x14ac:dyDescent="0.2">
      <c r="A61" s="4" t="str">
        <f ca="1">IFERROR(__xludf.DUMMYFUNCTION("""COMPUTED_VALUE"""),"«1С: ERP Управление предприятием 2.4.11»")</f>
        <v>«1С: ERP Управление предприятием 2.4.11»</v>
      </c>
      <c r="B61" s="4" t="str">
        <f ca="1">IFERROR(__xludf.DUMMYFUNCTION("""COMPUTED_VALUE"""),"с МОТП, БАЗОВЫЙ")</f>
        <v>с МОТП, БАЗОВЫЙ</v>
      </c>
      <c r="C61" s="4" t="str">
        <f ca="1">IFERROR(__xludf.DUMMYFUNCTION("""COMPUTED_VALUE"""),"SSY1-RTL15AT-1CERP24")</f>
        <v>SSY1-RTL15AT-1CERP24</v>
      </c>
      <c r="D61" s="4" t="str">
        <f ca="1">IFERROR(__xludf.DUMMYFUNCTION("""COMPUTED_VALUE"""),"Продление подписки на обновления Mobile SMARTS: Магазин 15 с МОТП, БАЗОВЫЙ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нет онл"&amp;"айна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прове"&amp;"рка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Продление подписки на обновления Mobile SMARTS: Магазин 15 с МОТП, БАЗОВЫЙ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" s="4" t="str">
        <f ca="1">IFERROR(__xludf.DUMMYFUNCTION("""COMPUTED_VALUE"""),"Продление подписки на обновления Mobile SMARTS: Магазин 15 с МОТП, БАЗОВЫЙ для «1С: ERP Управление предприятием 2.4.11»,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ERP Управление предприятием 2.4.11», для работы с маркированным товаром: ТАБАК и товары по штрихкодам  на 1 (один) год</v>
      </c>
      <c r="F61" s="5">
        <f ca="1">IFERROR(__xludf.DUMMYFUNCTION("""COMPUTED_VALUE"""),2230)</f>
        <v>2230</v>
      </c>
    </row>
    <row r="62" spans="1:6" ht="72" customHeight="1" x14ac:dyDescent="0.2">
      <c r="A62" s="4" t="str">
        <f ca="1">IFERROR(__xludf.DUMMYFUNCTION("""COMPUTED_VALUE"""),"«1С: ERP Управление предприятием 2.4.11»")</f>
        <v>«1С: ERP Управление предприятием 2.4.11»</v>
      </c>
      <c r="B62" s="4" t="str">
        <f ca="1">IFERROR(__xludf.DUMMYFUNCTION("""COMPUTED_VALUE"""),"с МОТП, РАСШИРЕННЫЙ")</f>
        <v>с МОТП, РАСШИРЕННЫЙ</v>
      </c>
      <c r="C62" s="4" t="str">
        <f ca="1">IFERROR(__xludf.DUMMYFUNCTION("""COMPUTED_VALUE"""),"SSY1-RTL15BT-1CERP24")</f>
        <v>SSY1-RTL15BT-1CERP24</v>
      </c>
      <c r="D62" s="4" t="str">
        <f ca="1">IFERROR(__xludf.DUMMYFUNCTION("""COMPUTED_VALUE"""),"Продление подписки на обновления Mobile SMARTS: Магазин 15 с МОТП, РАСШИРЕННЫЙ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ест"&amp;"ь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п"&amp;"роверка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обме"&amp;"н через Интернет на 1 (один) год")</f>
        <v>Продление подписки на обновления Mobile SMARTS: Магазин 15 с МОТП, РАСШИРЕННЫЙ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2" s="4" t="str">
        <f ca="1">IFERROR(__xludf.DUMMYFUNCTION("""COMPUTED_VALUE"""),"Продление подписки на обновления Mobile SMARTS: Магазин 15 с МОТП, РАСШИРЕННЫЙ для «1С: ERP Управление предприятием 2.4.11»,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ERP Управление предприятием 2.4.11», для работы с маркированным товаром: ТАБАК и товары по штрихкодам  на 1 (один) год</v>
      </c>
      <c r="F62" s="5">
        <f ca="1">IFERROR(__xludf.DUMMYFUNCTION("""COMPUTED_VALUE"""),3490)</f>
        <v>3490</v>
      </c>
    </row>
    <row r="63" spans="1:6" ht="72" customHeight="1" x14ac:dyDescent="0.2">
      <c r="A63" s="4" t="str">
        <f ca="1">IFERROR(__xludf.DUMMYFUNCTION("""COMPUTED_VALUE"""),"«1С: ERP Управление предприятием 2.4.11»")</f>
        <v>«1С: ERP Управление предприятием 2.4.11»</v>
      </c>
      <c r="B63" s="4" t="str">
        <f ca="1">IFERROR(__xludf.DUMMYFUNCTION("""COMPUTED_VALUE"""),"с МОТП, МЕГАМАРКЕТ")</f>
        <v>с МОТП, МЕГАМАРКЕТ</v>
      </c>
      <c r="C63" s="4" t="str">
        <f ca="1">IFERROR(__xludf.DUMMYFUNCTION("""COMPUTED_VALUE"""),"SSY1-RTL15CT-1CERP24")</f>
        <v>SSY1-RTL15CT-1CERP24</v>
      </c>
      <c r="D63" s="4" t="str">
        <f ca="1">IFERROR(__xludf.DUMMYFUNCTION("""COMPUTED_VALUE"""),"Продление подписки на обновления Mobile SMARTS: Магазин 15 с МОТП, МЕГАМАРКЕТ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есть"&amp;"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пр"&amp;"оверка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"&amp;"на обновления и обмен через Интернет на 1 (один) год")</f>
        <v>Продление подписки на обновления Mobile SMARTS: Магазин 15 с МОТП, МЕГАМАРКЕТ для «1С: ERP Управление предприятием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3" s="4" t="str">
        <f ca="1">IFERROR(__xludf.DUMMYFUNCTION("""COMPUTED_VALUE"""),"Продление подписки на обновления Mobile SMARTS: Магазин 15 с МОТП, МЕГАМАРКЕТ для «1С: ERP Управление предприятием 2.4.11»,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ERP Управление предприятием 2.4.11», для работы с маркированным товаром: ТАБАК и товары по штрихкодам  на 1 (один) год</v>
      </c>
      <c r="F63" s="5">
        <f ca="1">IFERROR(__xludf.DUMMYFUNCTION("""COMPUTED_VALUE"""),4770)</f>
        <v>4770</v>
      </c>
    </row>
    <row r="64" spans="1:6" ht="72" customHeight="1" x14ac:dyDescent="0.2">
      <c r="A64" s="4" t="str">
        <f ca="1">IFERROR(__xludf.DUMMYFUNCTION("""COMPUTED_VALUE"""),"«1С: ERP Управление предприятием 2.4.11»")</f>
        <v>«1С: ERP Управление предприятием 2.4.11»</v>
      </c>
      <c r="B64" s="4" t="str">
        <f ca="1">IFERROR(__xludf.DUMMYFUNCTION("""COMPUTED_VALUE"""),"с ЕГАИС и МОТП, БАЗОВЫЙ")</f>
        <v>с ЕГАИС и МОТП, БАЗОВЫЙ</v>
      </c>
      <c r="C64" s="4" t="str">
        <f ca="1">IFERROR(__xludf.DUMMYFUNCTION("""COMPUTED_VALUE"""),"SSY1-RTL15AET-1CERP24")</f>
        <v>SSY1-RTL15AET-1CERP24</v>
      </c>
      <c r="D64" s="4" t="str">
        <f ca="1">IFERROR(__xludf.DUMMYFUNCTION("""COMPUTED_VALUE"""),"Продление подписки на обновления 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"&amp;"Интернет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т.ч"&amp;".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экра"&amp;"не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4" s="4" t="str">
        <f ca="1">IFERROR(__xludf.DUMMYFUNCTION("""COMPUTED_VALUE"""),"Продление подписки на обновления 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ERP Управление предприятием 2.4.11», для работы с маркированным товаром: АЛКОГОЛЬ, ТАБАК и товары по штрихкодам  на 1 (один) год</v>
      </c>
      <c r="F64" s="5">
        <f ca="1">IFERROR(__xludf.DUMMYFUNCTION("""COMPUTED_VALUE"""),2430)</f>
        <v>2430</v>
      </c>
    </row>
    <row r="65" spans="1:6" ht="72" customHeight="1" x14ac:dyDescent="0.2">
      <c r="A65" s="4" t="str">
        <f ca="1">IFERROR(__xludf.DUMMYFUNCTION("""COMPUTED_VALUE"""),"«1С: ERP Управление предприятием 2.4.11»")</f>
        <v>«1С: ERP Управление предприятием 2.4.11»</v>
      </c>
      <c r="B65" s="4" t="str">
        <f ca="1">IFERROR(__xludf.DUMMYFUNCTION("""COMPUTED_VALUE"""),"с ЕГАИС и МОТП, РАСШИРЕННЫЙ")</f>
        <v>с ЕГАИС и МОТП, РАСШИРЕННЫЙ</v>
      </c>
      <c r="C65" s="4" t="str">
        <f ca="1">IFERROR(__xludf.DUMMYFUNCTION("""COMPUTED_VALUE"""),"SSY1-RTL15BET-1CERP24")</f>
        <v>SSY1-RTL15BET-1CERP24</v>
      </c>
      <c r="D65" s="4" t="str">
        <f ca="1">IFERROR(__xludf.DUMMYFUNCTION("""COMPUTED_VALUE"""),"Продление подписки на обновления 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че"&amp;"рез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(в"&amp;"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"&amp;"экране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5" s="4" t="str">
        <f ca="1">IFERROR(__xludf.DUMMYFUNCTION("""COMPUTED_VALUE"""),"Продление подписки на обновления 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ERP Управление предприятием 2.4.11», для работы с маркированным товаром: АЛКОГОЛЬ, ТАБАК и товары по штрихкодам  на 1 (один) год</v>
      </c>
      <c r="F65" s="5">
        <f ca="1">IFERROR(__xludf.DUMMYFUNCTION("""COMPUTED_VALUE"""),3710)</f>
        <v>3710</v>
      </c>
    </row>
    <row r="66" spans="1:6" ht="72" customHeight="1" x14ac:dyDescent="0.2">
      <c r="A66" s="4" t="str">
        <f ca="1">IFERROR(__xludf.DUMMYFUNCTION("""COMPUTED_VALUE"""),"«1С: ERP Управление предприятием 2.4.11»")</f>
        <v>«1С: ERP Управление предприятием 2.4.11»</v>
      </c>
      <c r="B66" s="4" t="str">
        <f ca="1">IFERROR(__xludf.DUMMYFUNCTION("""COMPUTED_VALUE"""),"с ЕГАИС и МОТП, МЕГАМАРКЕТ")</f>
        <v>с ЕГАИС и МОТП, МЕГАМАРКЕТ</v>
      </c>
      <c r="C66" s="4" t="str">
        <f ca="1">IFERROR(__xludf.DUMMYFUNCTION("""COMPUTED_VALUE"""),"SSY1-RTL15CET-1CERP24")</f>
        <v>SSY1-RTL15CET-1CERP24</v>
      </c>
      <c r="D66" s="4" t="str">
        <f ca="1">IFERROR(__xludf.DUMMYFUNCTION("""COMPUTED_VALUE"""),"Продление подписки на обновления 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чер"&amp;"ез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"&amp;"т.ч.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6" s="4" t="str">
        <f ca="1">IFERROR(__xludf.DUMMYFUNCTION("""COMPUTED_VALUE"""),"Продление подписки на обновления 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ERP Управление предприятием 2.4.11», для работы с маркированным товаром: АЛКОГОЛЬ, ТАБАК и товары по штрихкодам  на 1 (один) год</v>
      </c>
      <c r="F66" s="5">
        <f ca="1">IFERROR(__xludf.DUMMYFUNCTION("""COMPUTED_VALUE"""),5270)</f>
        <v>5270</v>
      </c>
    </row>
    <row r="67" spans="1:6" ht="72" customHeight="1" x14ac:dyDescent="0.2">
      <c r="A67" s="4" t="str">
        <f ca="1">IFERROR(__xludf.DUMMYFUNCTION("""COMPUTED_VALUE"""),"«1С: ERP Управление предприятием 2.4.11»")</f>
        <v>«1С: ERP Управление предприятием 2.4.11»</v>
      </c>
      <c r="B67" s="4" t="str">
        <f ca="1">IFERROR(__xludf.DUMMYFUNCTION("""COMPUTED_VALUE"""),"ШМОТКИ, БАЗОВЫЙ")</f>
        <v>ШМОТКИ, БАЗОВЫЙ</v>
      </c>
      <c r="C67" s="4" t="str">
        <f ca="1">IFERROR(__xludf.DUMMYFUNCTION("""COMPUTED_VALUE"""),"SSY1-RTL15AK-1CERP24")</f>
        <v>SSY1-RTL15AK-1CERP24</v>
      </c>
      <c r="D67" s="4" t="str">
        <f ca="1">IFERROR(__xludf.DUMMYFUNCTION("""COMPUTED_VALUE"""),"Продление подписки на обновления 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че"&amp;"рез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справочн"&amp;"иков,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на"&amp;" обновления и обмен через Интернет на 1 (один) год")</f>
        <v>Продление подписки на обновления 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7" s="4" t="str">
        <f ca="1">IFERROR(__xludf.DUMMYFUNCTION("""COMPUTED_VALUE"""),"Продление подписки на обновления 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ERP Управление предприятием 2.4.11», для работы с маркированным товаром: ОБУВЬ, ОДЕЖДА, ПАРФЮМ, ШИНЫ и товары по штрихкодам  на 1 (один) год</v>
      </c>
      <c r="F67" s="5">
        <f ca="1">IFERROR(__xludf.DUMMYFUNCTION("""COMPUTED_VALUE"""),2430)</f>
        <v>2430</v>
      </c>
    </row>
    <row r="68" spans="1:6" ht="72" customHeight="1" x14ac:dyDescent="0.2">
      <c r="A68" s="4" t="str">
        <f ca="1">IFERROR(__xludf.DUMMYFUNCTION("""COMPUTED_VALUE"""),"«1С: ERP Управление предприятием 2.4.11»")</f>
        <v>«1С: ERP Управление предприятием 2.4.11»</v>
      </c>
      <c r="B68" s="4" t="str">
        <f ca="1">IFERROR(__xludf.DUMMYFUNCTION("""COMPUTED_VALUE"""),"ШМОТКИ, РАСШИРЕННЫЙ")</f>
        <v>ШМОТКИ, РАСШИРЕННЫЙ</v>
      </c>
      <c r="C68" s="4" t="str">
        <f ca="1">IFERROR(__xludf.DUMMYFUNCTION("""COMPUTED_VALUE"""),"SSY1-RTL15BK-1CERP24")</f>
        <v>SSY1-RTL15BK-1CERP24</v>
      </c>
      <c r="D68" s="4" t="str">
        <f ca="1">IFERROR(__xludf.DUMMYFUNCTION("""COMPUTED_VALUE"""),"Продление подписки на обновления 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обме"&amp;"н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спра"&amp;"вочников,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подписк"&amp;"а на обновления и обмен через Интернет на 1 (один) год")</f>
        <v>Продление подписки на обновления 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8" s="4" t="str">
        <f ca="1">IFERROR(__xludf.DUMMYFUNCTION("""COMPUTED_VALUE"""),"Продление подписки на обновления 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«1С: ERP Управление предприятием 2.4.11», для работы с маркированным товаром: ОБУВЬ, ОДЕЖДА, ПАРФЮМ, ШИНЫ и товары по штрихкодам  на 1 (один) год</v>
      </c>
      <c r="F68" s="5">
        <f ca="1">IFERROR(__xludf.DUMMYFUNCTION("""COMPUTED_VALUE"""),3710)</f>
        <v>3710</v>
      </c>
    </row>
    <row r="69" spans="1:6" ht="72" customHeight="1" x14ac:dyDescent="0.2">
      <c r="A69" s="4" t="str">
        <f ca="1">IFERROR(__xludf.DUMMYFUNCTION("""COMPUTED_VALUE"""),"«1С: ERP Управление предприятием 2.4.11»")</f>
        <v>«1С: ERP Управление предприятием 2.4.11»</v>
      </c>
      <c r="B69" s="4" t="str">
        <f ca="1">IFERROR(__xludf.DUMMYFUNCTION("""COMPUTED_VALUE"""),"ШМОТКИ, МЕГАМАРКЕТ")</f>
        <v>ШМОТКИ, МЕГАМАРКЕТ</v>
      </c>
      <c r="C69" s="4" t="str">
        <f ca="1">IFERROR(__xludf.DUMMYFUNCTION("""COMPUTED_VALUE"""),"SSY1-RTL15CK-1CERP24")</f>
        <v>SSY1-RTL15CK-1CERP24</v>
      </c>
      <c r="D69" s="4" t="str">
        <f ca="1">IFERROR(__xludf.DUMMYFUNCTION("""COMPUTED_VALUE"""),"Продление подписки на обновления 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обмен"&amp;"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справ"&amp;"очников,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моб."&amp;" устройство, подписка на обновления и обмен через Интернет на 1 (один) год")</f>
        <v>Продление подписки на обновления 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9" s="4" t="str">
        <f ca="1">IFERROR(__xludf.DUMMYFUNCTION("""COMPUTED_VALUE"""),"Продление подписки на обновления 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«1С: ERP Управление предприятием 2.4.11», для работы с маркированным товаром: ОБУВЬ, ОДЕЖДА, ПАРФЮМ, ШИНЫ и товары по штрихкодам  на 1 (один) год</v>
      </c>
      <c r="F69" s="5">
        <f ca="1">IFERROR(__xludf.DUMMYFUNCTION("""COMPUTED_VALUE"""),5270)</f>
        <v>5270</v>
      </c>
    </row>
    <row r="70" spans="1:6" ht="72" customHeight="1" x14ac:dyDescent="0.2">
      <c r="A70" s="4" t="str">
        <f ca="1">IFERROR(__xludf.DUMMYFUNCTION("""COMPUTED_VALUE"""),"«1С: ERP Управление предприятием 2.4.11»")</f>
        <v>«1С: ERP Управление предприятием 2.4.11»</v>
      </c>
      <c r="B70" s="4" t="str">
        <f ca="1">IFERROR(__xludf.DUMMYFUNCTION("""COMPUTED_VALUE"""),"ПРОДУКТОВЫЙ, БАЗОВЫЙ")</f>
        <v>ПРОДУКТОВЫЙ, БАЗОВЫЙ</v>
      </c>
      <c r="C70" s="4" t="str">
        <f ca="1">IFERROR(__xludf.DUMMYFUNCTION("""COMPUTED_VALUE"""),"SSY1-RTL15AG-1CERP24")</f>
        <v>SSY1-RTL15AG-1CERP24</v>
      </c>
      <c r="D70" s="4" t="str">
        <f ca="1">IFERROR(__xludf.DUMMYFUNCTION("""COMPUTED_VALUE"""),"Продление подписки на обновления 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в"&amp;"ыбор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прин"&amp;"тер),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ск"&amp;"ладах,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0" s="4" t="str">
        <f ca="1">IFERROR(__xludf.DUMMYFUNCTION("""COMPUTED_VALUE"""),"Продление подписки на обновления 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 на 1 "&amp;"(один) год")</f>
        <v>Продление подписки на обновления Mobile SMARTS: Магазин 15 ПРОДУКТОВЫЙ, БАЗОВЫЙ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 на 1 (один) год</v>
      </c>
      <c r="F70" s="5">
        <f ca="1">IFERROR(__xludf.DUMMYFUNCTION("""COMPUTED_VALUE"""),2910)</f>
        <v>2910</v>
      </c>
    </row>
    <row r="71" spans="1:6" ht="72" customHeight="1" x14ac:dyDescent="0.2">
      <c r="A71" s="4" t="str">
        <f ca="1">IFERROR(__xludf.DUMMYFUNCTION("""COMPUTED_VALUE"""),"«1С: ERP Управление предприятием 2.4.11»")</f>
        <v>«1С: ERP Управление предприятием 2.4.11»</v>
      </c>
      <c r="B71" s="4" t="str">
        <f ca="1">IFERROR(__xludf.DUMMYFUNCTION("""COMPUTED_VALUE"""),"ПРОДУКТОВЫЙ, РАСШИРЕННЫЙ")</f>
        <v>ПРОДУКТОВЫЙ, РАСШИРЕННЫЙ</v>
      </c>
      <c r="C71" s="4" t="str">
        <f ca="1">IFERROR(__xludf.DUMMYFUNCTION("""COMPUTED_VALUE"""),"SSY1-RTL15BG-1CERP24")</f>
        <v>SSY1-RTL15BG-1CERP24</v>
      </c>
      <c r="D71" s="4" t="str">
        <f ca="1">IFERROR(__xludf.DUMMYFUNCTION("""COMPUTED_VALUE"""),"Продление подписки на обновления 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"&amp;"на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"&amp;"принтер),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товаре"&amp;",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1" s="4" t="str">
        <f ca="1">IFERROR(__xludf.DUMMYFUNCTION("""COMPUTED_VALUE"""),"Продление подписки на обновления 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 н"&amp;"а 1 (один) год")</f>
        <v>Продление подписки на обновления Mobile SMARTS: Магазин 15 ПРОДУКТОВЫЙ, РАСШИРЕННЫЙ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 на 1 (один) год</v>
      </c>
      <c r="F71" s="5">
        <f ca="1">IFERROR(__xludf.DUMMYFUNCTION("""COMPUTED_VALUE"""),4190)</f>
        <v>4190</v>
      </c>
    </row>
    <row r="72" spans="1:6" ht="72" customHeight="1" x14ac:dyDescent="0.2">
      <c r="A72" s="4" t="str">
        <f ca="1">IFERROR(__xludf.DUMMYFUNCTION("""COMPUTED_VALUE"""),"«1С: ERP Управление предприятием 2.4.11»")</f>
        <v>«1С: ERP Управление предприятием 2.4.11»</v>
      </c>
      <c r="B72" s="4" t="str">
        <f ca="1">IFERROR(__xludf.DUMMYFUNCTION("""COMPUTED_VALUE"""),"ПРОДУКТОВЫЙ, МЕГАМАРКЕТ")</f>
        <v>ПРОДУКТОВЫЙ, МЕГАМАРКЕТ</v>
      </c>
      <c r="C72" s="4" t="str">
        <f ca="1">IFERROR(__xludf.DUMMYFUNCTION("""COMPUTED_VALUE"""),"SSY1-RTL15CG-1CERP24")</f>
        <v>SSY1-RTL15CG-1CERP24</v>
      </c>
      <c r="D72" s="4" t="str">
        <f ca="1">IFERROR(__xludf.DUMMYFUNCTION("""COMPUTED_VALUE"""),"Продление подписки на обновления 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н"&amp;"а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п"&amp;"ринтер),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работа,"&amp;"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го"&amp;"д")</f>
        <v>Продление подписки на обновления 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2" s="4" t="str">
        <f ca="1">IFERROR(__xludf.DUMMYFUNCTION("""COMPUTED_VALUE"""),"Продление подписки на обновления 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 на"&amp;" 1 (один) год")</f>
        <v>Продление подписки на обновления Mobile SMARTS: Магазин 15 ПРОДУКТОВЫЙ, МЕГАМАРКЕТ для «1С: ERP Управление предприятием 2.4.11», для работы с маркированным товаром: АЛКОГОЛЬ, ПИВО, ТАБАК, МОЛОКО, ВОДА, ОДЕЖДА, ОБУВЬ, ДУХИ, ШИНЫ и товаром по штрихкодам  на 1 (один) год</v>
      </c>
      <c r="F72" s="5">
        <f ca="1">IFERROR(__xludf.DUMMYFUNCTION("""COMPUTED_VALUE"""),5650)</f>
        <v>5650</v>
      </c>
    </row>
    <row r="73" spans="1:6" ht="72" customHeight="1" x14ac:dyDescent="0.2">
      <c r="A73" s="4" t="str">
        <f ca="1">IFERROR(__xludf.DUMMYFUNCTION("""COMPUTED_VALUE"""),"«1С: ERP Управление предприятием 2.5»")</f>
        <v>«1С: ERP Управление предприятием 2.5»</v>
      </c>
      <c r="B73" s="4" t="str">
        <f ca="1">IFERROR(__xludf.DUMMYFUNCTION("""COMPUTED_VALUE"""),"МИНИМУМ")</f>
        <v>МИНИМУМ</v>
      </c>
      <c r="C73" s="4" t="str">
        <f ca="1">IFERROR(__xludf.DUMMYFUNCTION("""COMPUTED_VALUE"""),"SSY1-RTL15M-1CERP25")</f>
        <v>SSY1-RTL15M-1CERP25</v>
      </c>
      <c r="D73" s="4" t="str">
        <f ca="1">IFERROR(__xludf.DUMMYFUNCTION("""COMPUTED_VALUE"""),"Продление подписки на обновления Mobile SMARTS: Магазин 15, МИНИМУМ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сбор штрихкод"&amp;"ов,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обновле"&amp;"ния и обмен через Интернет на 1 (один) год")</f>
        <v>Продление подписки на обновления Mobile SMARTS: Магазин 15, МИНИМУМ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73" s="4" t="str">
        <f ca="1">IFERROR(__xludf.DUMMYFUNCTION("""COMPUTED_VALUE"""),"Продление подписки на обновления Mobile SMARTS: Магазин 15, МИНИМУМ для «1С: ERP Управление предприятием 2.5», для работы с товаром по штрихкодам  на 1 (один) год")</f>
        <v>Продление подписки на обновления Mobile SMARTS: Магазин 15, МИНИМУМ для «1С: ERP Управление предприятием 2.5», для работы с товаром по штрихкодам  на 1 (один) год</v>
      </c>
      <c r="F73" s="5">
        <f ca="1">IFERROR(__xludf.DUMMYFUNCTION("""COMPUTED_VALUE"""),690)</f>
        <v>690</v>
      </c>
    </row>
    <row r="74" spans="1:6" ht="72" customHeight="1" x14ac:dyDescent="0.2">
      <c r="A74" s="4" t="str">
        <f ca="1">IFERROR(__xludf.DUMMYFUNCTION("""COMPUTED_VALUE"""),"«1С: ERP Управление предприятием 2.5»")</f>
        <v>«1С: ERP Управление предприятием 2.5»</v>
      </c>
      <c r="B74" s="4" t="str">
        <f ca="1">IFERROR(__xludf.DUMMYFUNCTION("""COMPUTED_VALUE"""),"БАЗОВЫЙ")</f>
        <v>БАЗОВЫЙ</v>
      </c>
      <c r="C74" s="4" t="str">
        <f ca="1">IFERROR(__xludf.DUMMYFUNCTION("""COMPUTED_VALUE"""),"SSY1-RTL15A-1CERP25")</f>
        <v>SSY1-RTL15A-1CERP25</v>
      </c>
      <c r="D74" s="4" t="str">
        <f ca="1">IFERROR(__xludf.DUMMYFUNCTION("""COMPUTED_VALUE"""),"Продление подписки на обновления Mobile SMARTS: Магазин 15, БАЗОВЫЙ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поступление, "&amp;"инвентаризация,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ERP Управление предприятием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4" s="4" t="str">
        <f ca="1">IFERROR(__xludf.DUMMYFUNCTION("""COMPUTED_VALUE"""),"Продление подписки на обновления Mobile SMARTS: Магазин 15, БАЗОВЫЙ для «1С: ERP Управление предприятием 2.5», для работы с товаром по штрихкодам  на 1 (один) год")</f>
        <v>Продление подписки на обновления Mobile SMARTS: Магазин 15, БАЗОВЫЙ для «1С: ERP Управление предприятием 2.5», для работы с товаром по штрихкодам  на 1 (один) год</v>
      </c>
      <c r="F74" s="5">
        <f ca="1">IFERROR(__xludf.DUMMYFUNCTION("""COMPUTED_VALUE"""),1730)</f>
        <v>1730</v>
      </c>
    </row>
    <row r="75" spans="1:6" ht="72" customHeight="1" x14ac:dyDescent="0.2">
      <c r="A75" s="4" t="str">
        <f ca="1">IFERROR(__xludf.DUMMYFUNCTION("""COMPUTED_VALUE"""),"«1С: ERP Управление предприятием 2.5»")</f>
        <v>«1С: ERP Управление предприятием 2.5»</v>
      </c>
      <c r="B75" s="4" t="str">
        <f ca="1">IFERROR(__xludf.DUMMYFUNCTION("""COMPUTED_VALUE"""),"РАСШИРЕННЫЙ")</f>
        <v>РАСШИРЕННЫЙ</v>
      </c>
      <c r="C75" s="4" t="str">
        <f ca="1">IFERROR(__xludf.DUMMYFUNCTION("""COMPUTED_VALUE"""),"SSY1-RTL15B-1CERP25")</f>
        <v>SSY1-RTL15B-1CERP25</v>
      </c>
      <c r="D75" s="4" t="str">
        <f ca="1">IFERROR(__xludf.DUMMYFUNCTION("""COMPUTED_VALUE"""),"Продление подписки на обновления Mobile SMARTS: Магазин 15, РАСШИРЕННЫЙ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поступлен"&amp;"ие,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остатках"&amp;"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5" s="4" t="str">
        <f ca="1">IFERROR(__xludf.DUMMYFUNCTION("""COMPUTED_VALUE"""),"Продление подписки на обновления Mobile SMARTS: Магазин 15, РАСШИРЕННЫЙ для «1С: ERP Управление предприятием 2.5», для работы с товаром по штрихкодам  на 1 (один) год")</f>
        <v>Продление подписки на обновления Mobile SMARTS: Магазин 15, РАСШИРЕННЫЙ для «1С: ERP Управление предприятием 2.5», для работы с товаром по штрихкодам  на 1 (один) год</v>
      </c>
      <c r="F75" s="5">
        <f ca="1">IFERROR(__xludf.DUMMYFUNCTION("""COMPUTED_VALUE"""),3010)</f>
        <v>3010</v>
      </c>
    </row>
    <row r="76" spans="1:6" ht="72" customHeight="1" x14ac:dyDescent="0.2">
      <c r="A76" s="4" t="str">
        <f ca="1">IFERROR(__xludf.DUMMYFUNCTION("""COMPUTED_VALUE"""),"«1С: ERP Управление предприятием 2.5»")</f>
        <v>«1С: ERP Управление предприятием 2.5»</v>
      </c>
      <c r="B76" s="4" t="str">
        <f ca="1">IFERROR(__xludf.DUMMYFUNCTION("""COMPUTED_VALUE"""),"МЕГАМАРКЕТ")</f>
        <v>МЕГАМАРКЕТ</v>
      </c>
      <c r="C76" s="4" t="str">
        <f ca="1">IFERROR(__xludf.DUMMYFUNCTION("""COMPUTED_VALUE"""),"SSY1-RTL15C-1CERP25")</f>
        <v>SSY1-RTL15C-1CERP25</v>
      </c>
      <c r="D76" s="4" t="str">
        <f ca="1">IFERROR(__xludf.DUMMYFUNCTION("""COMPUTED_VALUE"""),"Продление подписки на обновления Mobile SMARTS: Магазин 15, МЕГАМАРКЕТ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поступлени"&amp;"е,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ERP Управление предприятием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6" s="4" t="str">
        <f ca="1">IFERROR(__xludf.DUMMYFUNCTION("""COMPUTED_VALUE"""),"Продление подписки на обновления Mobile SMARTS: Магазин 15, МЕГАМАРКЕТ для «1С: ERP Управление предприятием 2.5», для работы с товаром по штрихкодам  на 1 (один) год")</f>
        <v>Продление подписки на обновления Mobile SMARTS: Магазин 15, МЕГАМАРКЕТ для «1С: ERP Управление предприятием 2.5», для работы с товаром по штрихкодам  на 1 (один) год</v>
      </c>
      <c r="F76" s="5">
        <f ca="1">IFERROR(__xludf.DUMMYFUNCTION("""COMPUTED_VALUE"""),4310)</f>
        <v>4310</v>
      </c>
    </row>
    <row r="77" spans="1:6" ht="72" customHeight="1" x14ac:dyDescent="0.2">
      <c r="A77" s="4" t="str">
        <f ca="1">IFERROR(__xludf.DUMMYFUNCTION("""COMPUTED_VALUE"""),"«1С: ERP Управление предприятием 2.5»")</f>
        <v>«1С: ERP Управление предприятием 2.5»</v>
      </c>
      <c r="B77" s="4" t="str">
        <f ca="1">IFERROR(__xludf.DUMMYFUNCTION("""COMPUTED_VALUE"""),"с ЕГАИС, БАЗОВЫЙ")</f>
        <v>с ЕГАИС, БАЗОВЫЙ</v>
      </c>
      <c r="C77" s="4" t="str">
        <f ca="1">IFERROR(__xludf.DUMMYFUNCTION("""COMPUTED_VALUE"""),"SSY1-RTL15AE-1CERP25")</f>
        <v>SSY1-RTL15AE-1CERP25</v>
      </c>
      <c r="D77" s="4" t="str">
        <f ca="1">IFERROR(__xludf.DUMMYFUNCTION("""COMPUTED_VALUE"""),"Продление подписки на обновления Mobile SMARTS: Магазин 15 с ЕГАИС, БАЗОВЫЙ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"&amp;"нет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"&amp;"печать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"&amp;"Интернет на 1 (один) год")</f>
        <v>Продление подписки на обновления Mobile SMARTS: Магазин 15 с ЕГАИС, БАЗОВЫЙ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77" s="4" t="str">
        <f ca="1">IFERROR(__xludf.DUMMYFUNCTION("""COMPUTED_VALUE"""),"Продление подписки на обновления Mobile SMARTS: Магазин 15 с ЕГАИС, БАЗОВЫЙ для «1С: ERP Управление предприятием 2.5»,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ERP Управление предприятием 2.5», для работы с маркированным товаром: алкоголь ЕГАИС и товары по штрихкодам  на 1 (один) год</v>
      </c>
      <c r="F77" s="5">
        <f ca="1">IFERROR(__xludf.DUMMYFUNCTION("""COMPUTED_VALUE"""),2200)</f>
        <v>2200</v>
      </c>
    </row>
    <row r="78" spans="1:6" ht="72" customHeight="1" x14ac:dyDescent="0.2">
      <c r="A78" s="4" t="str">
        <f ca="1">IFERROR(__xludf.DUMMYFUNCTION("""COMPUTED_VALUE"""),"«1С: ERP Управление предприятием 2.5»")</f>
        <v>«1С: ERP Управление предприятием 2.5»</v>
      </c>
      <c r="B78" s="4" t="str">
        <f ca="1">IFERROR(__xludf.DUMMYFUNCTION("""COMPUTED_VALUE"""),"с ЕГАИС, РАСШИРЕННЫЙ")</f>
        <v>с ЕГАИС, РАСШИРЕННЫЙ</v>
      </c>
      <c r="C78" s="4" t="str">
        <f ca="1">IFERROR(__xludf.DUMMYFUNCTION("""COMPUTED_VALUE"""),"SSY1-RTL15BE-1CERP25")</f>
        <v>SSY1-RTL15BE-1CERP25</v>
      </c>
      <c r="D78" s="4" t="str">
        <f ca="1">IFERROR(__xludf.DUMMYFUNCTION("""COMPUTED_VALUE"""),"Продление подписки на обновления Mobile SMARTS: Магазин 15 с ЕГАИС, РАСШИРЕННЫЙ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Интерне"&amp;"т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возможнос"&amp;"ти: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обм"&amp;"ен через Интернет на 1 (один) год")</f>
        <v>Продление подписки на обновления Mobile SMARTS: Магазин 15 с ЕГАИС, РАСШИРЕННЫЙ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8" s="4" t="str">
        <f ca="1">IFERROR(__xludf.DUMMYFUNCTION("""COMPUTED_VALUE"""),"Продление подписки на обновления Mobile SMARTS: Магазин 15 с ЕГАИС, РАСШИРЕННЫЙ для «1С: ERP Управление предприятием 2.5»,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ERP Управление предприятием 2.5», для работы с маркированным товаром: алкоголь ЕГАИС и товары по штрихкодам  на 1 (один) год</v>
      </c>
      <c r="F78" s="5">
        <f ca="1">IFERROR(__xludf.DUMMYFUNCTION("""COMPUTED_VALUE"""),3490)</f>
        <v>3490</v>
      </c>
    </row>
    <row r="79" spans="1:6" ht="72" customHeight="1" x14ac:dyDescent="0.2">
      <c r="A79" s="4" t="str">
        <f ca="1">IFERROR(__xludf.DUMMYFUNCTION("""COMPUTED_VALUE"""),"«1С: ERP Управление предприятием 2.5»")</f>
        <v>«1С: ERP Управление предприятием 2.5»</v>
      </c>
      <c r="B79" s="4" t="str">
        <f ca="1">IFERROR(__xludf.DUMMYFUNCTION("""COMPUTED_VALUE"""),"с ЕГАИС (без CheckMark2), МЕГАМАРКЕТ")</f>
        <v>с ЕГАИС (без CheckMark2), МЕГАМАРКЕТ</v>
      </c>
      <c r="C79" s="4" t="str">
        <f ca="1">IFERROR(__xludf.DUMMYFUNCTION("""COMPUTED_VALUE"""),"SSY1-RTL15CEV-1CERP25")</f>
        <v>SSY1-RTL15CEV-1CERP25</v>
      </c>
      <c r="D79" s="4" t="str">
        <f ca="1">IFERROR(__xludf.DUMMYFUNCTION("""COMPUTED_VALUE"""),"Продление подписки на обновления 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обм"&amp;"ен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QR-к"&amp;"одов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устр"&amp;"ойство,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79" s="4" t="str">
        <f ca="1">IFERROR(__xludf.DUMMYFUNCTION("""COMPUTED_VALUE"""),"Продление подписки на обновления 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ERP Управление предприятием 2.5», для работы с маркированным товаром: алкоголь ЕГАИС и товары по штрихкодам  на 1 (один) год</v>
      </c>
      <c r="F79" s="5">
        <f ca="1">IFERROR(__xludf.DUMMYFUNCTION("""COMPUTED_VALUE"""),4770)</f>
        <v>4770</v>
      </c>
    </row>
    <row r="80" spans="1:6" ht="72" customHeight="1" x14ac:dyDescent="0.2">
      <c r="A80" s="4" t="str">
        <f ca="1">IFERROR(__xludf.DUMMYFUNCTION("""COMPUTED_VALUE"""),"«1С: ERP Управление предприятием 2.5»")</f>
        <v>«1С: ERP Управление предприятием 2.5»</v>
      </c>
      <c r="B80" s="4" t="str">
        <f ca="1">IFERROR(__xludf.DUMMYFUNCTION("""COMPUTED_VALUE"""),"с МОТП, БАЗОВЫЙ")</f>
        <v>с МОТП, БАЗОВЫЙ</v>
      </c>
      <c r="C80" s="4" t="str">
        <f ca="1">IFERROR(__xludf.DUMMYFUNCTION("""COMPUTED_VALUE"""),"SSY1-RTL15AT-1CERP25")</f>
        <v>SSY1-RTL15AT-1CERP25</v>
      </c>
      <c r="D80" s="4" t="str">
        <f ca="1">IFERROR(__xludf.DUMMYFUNCTION("""COMPUTED_VALUE"""),"Продление подписки на обновления Mobile SMARTS: Магазин 15 с МОТП, БАЗОВЫЙ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нет онлайн"&amp;"а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Продление подписки на обновления Mobile SMARTS: Магазин 15 с МОТП, БАЗОВЫЙ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0" s="4" t="str">
        <f ca="1">IFERROR(__xludf.DUMMYFUNCTION("""COMPUTED_VALUE"""),"Продление подписки на обновления Mobile SMARTS: Магазин 15 с МОТП, БАЗОВЫЙ для «1С: ERP Управление предприятием 2.5»,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ERP Управление предприятием 2.5», для работы с маркированным товаром: ТАБАК и товары по штрихкодам  на 1 (один) год</v>
      </c>
      <c r="F80" s="5">
        <f ca="1">IFERROR(__xludf.DUMMYFUNCTION("""COMPUTED_VALUE"""),2230)</f>
        <v>2230</v>
      </c>
    </row>
    <row r="81" spans="1:6" ht="72" customHeight="1" x14ac:dyDescent="0.2">
      <c r="A81" s="4" t="str">
        <f ca="1">IFERROR(__xludf.DUMMYFUNCTION("""COMPUTED_VALUE"""),"«1С: ERP Управление предприятием 2.5»")</f>
        <v>«1С: ERP Управление предприятием 2.5»</v>
      </c>
      <c r="B81" s="4" t="str">
        <f ca="1">IFERROR(__xludf.DUMMYFUNCTION("""COMPUTED_VALUE"""),"с МОТП, РАСШИРЕННЫЙ")</f>
        <v>с МОТП, РАСШИРЕННЫЙ</v>
      </c>
      <c r="C81" s="4" t="str">
        <f ca="1">IFERROR(__xludf.DUMMYFUNCTION("""COMPUTED_VALUE"""),"SSY1-RTL15BT-1CERP25")</f>
        <v>SSY1-RTL15BT-1CERP25</v>
      </c>
      <c r="D81" s="4" t="str">
        <f ca="1">IFERROR(__xludf.DUMMYFUNCTION("""COMPUTED_VALUE"""),"Продление подписки на обновления Mobile SMARTS: Магазин 15 с МОТП, РАСШИРЕННЫЙ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О"&amp;"НЛАЙН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пров"&amp;"ерка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ч"&amp;"ерез Интернет на 1 (один) год")</f>
        <v>Продление подписки на обновления Mobile SMARTS: Магазин 15 с МОТП, РАСШИРЕННЫЙ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1" s="4" t="str">
        <f ca="1">IFERROR(__xludf.DUMMYFUNCTION("""COMPUTED_VALUE"""),"Продление подписки на обновления Mobile SMARTS: Магазин 15 с МОТП, РАСШИРЕННЫЙ для «1С: ERP Управление предприятием 2.5»,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ERP Управление предприятием 2.5», для работы с маркированным товаром: ТАБАК и товары по штрихкодам  на 1 (один) год</v>
      </c>
      <c r="F81" s="5">
        <f ca="1">IFERROR(__xludf.DUMMYFUNCTION("""COMPUTED_VALUE"""),3490)</f>
        <v>3490</v>
      </c>
    </row>
    <row r="82" spans="1:6" ht="72" customHeight="1" x14ac:dyDescent="0.2">
      <c r="A82" s="4" t="str">
        <f ca="1">IFERROR(__xludf.DUMMYFUNCTION("""COMPUTED_VALUE"""),"«1С: ERP Управление предприятием 2.5»")</f>
        <v>«1С: ERP Управление предприятием 2.5»</v>
      </c>
      <c r="B82" s="4" t="str">
        <f ca="1">IFERROR(__xludf.DUMMYFUNCTION("""COMPUTED_VALUE"""),"с МОТП, МЕГАМАРКЕТ")</f>
        <v>с МОТП, МЕГАМАРКЕТ</v>
      </c>
      <c r="C82" s="4" t="str">
        <f ca="1">IFERROR(__xludf.DUMMYFUNCTION("""COMPUTED_VALUE"""),"SSY1-RTL15CT-1CERP25")</f>
        <v>SSY1-RTL15CT-1CERP25</v>
      </c>
      <c r="D82" s="4" t="str">
        <f ca="1">IFERROR(__xludf.DUMMYFUNCTION("""COMPUTED_VALUE"""),"Продление подписки на обновления Mobile SMARTS: Магазин 15 с МОТП, МЕГАМАРКЕТ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ОН"&amp;"ЛАЙН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прове"&amp;"рка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"&amp;"обновления и обмен через Интернет на 1 (один) год")</f>
        <v>Продление подписки на обновления Mobile SMARTS: Магазин 15 с МОТП, МЕГАМАРКЕТ для «1С: ERP Управление предприятием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2" s="4" t="str">
        <f ca="1">IFERROR(__xludf.DUMMYFUNCTION("""COMPUTED_VALUE"""),"Продление подписки на обновления Mobile SMARTS: Магазин 15 с МОТП, МЕГАМАРКЕТ для «1С: ERP Управление предприятием 2.5»,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ERP Управление предприятием 2.5», для работы с маркированным товаром: ТАБАК и товары по штрихкодам  на 1 (один) год</v>
      </c>
      <c r="F82" s="5">
        <f ca="1">IFERROR(__xludf.DUMMYFUNCTION("""COMPUTED_VALUE"""),4770)</f>
        <v>4770</v>
      </c>
    </row>
    <row r="83" spans="1:6" ht="72" customHeight="1" x14ac:dyDescent="0.2">
      <c r="A83" s="4" t="str">
        <f ca="1">IFERROR(__xludf.DUMMYFUNCTION("""COMPUTED_VALUE"""),"«1С: ERP Управление предприятием 2.5»")</f>
        <v>«1С: ERP Управление предприятием 2.5»</v>
      </c>
      <c r="B83" s="4" t="str">
        <f ca="1">IFERROR(__xludf.DUMMYFUNCTION("""COMPUTED_VALUE"""),"с ЕГАИС и МОТП, БАЗОВЫЙ")</f>
        <v>с ЕГАИС и МОТП, БАЗОВЫЙ</v>
      </c>
      <c r="C83" s="4" t="str">
        <f ca="1">IFERROR(__xludf.DUMMYFUNCTION("""COMPUTED_VALUE"""),"SSY1-RTL15AET-1CERP25")</f>
        <v>SSY1-RTL15AET-1CERP25</v>
      </c>
      <c r="D83" s="4" t="str">
        <f ca="1">IFERROR(__xludf.DUMMYFUNCTION("""COMPUTED_VALUE"""),"Продление подписки на обновления 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Инт"&amp;"ернет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о"&amp;"тгрузка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3" s="4" t="str">
        <f ca="1">IFERROR(__xludf.DUMMYFUNCTION("""COMPUTED_VALUE"""),"Продление подписки на обновления 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ERP Управление предприятием 2.5», для работы с маркированным товаром: АЛКОГОЛЬ, ТАБАК и товары по штрихкодам  на 1 (один) год</v>
      </c>
      <c r="F83" s="5">
        <f ca="1">IFERROR(__xludf.DUMMYFUNCTION("""COMPUTED_VALUE"""),2430)</f>
        <v>2430</v>
      </c>
    </row>
    <row r="84" spans="1:6" ht="72" customHeight="1" x14ac:dyDescent="0.2">
      <c r="A84" s="4" t="str">
        <f ca="1">IFERROR(__xludf.DUMMYFUNCTION("""COMPUTED_VALUE"""),"«1С: ERP Управление предприятием 2.5»")</f>
        <v>«1С: ERP Управление предприятием 2.5»</v>
      </c>
      <c r="B84" s="4" t="str">
        <f ca="1">IFERROR(__xludf.DUMMYFUNCTION("""COMPUTED_VALUE"""),"с ЕГАИС и МОТП, РАСШИРЕННЫЙ")</f>
        <v>с ЕГАИС и МОТП, РАСШИРЕННЫЙ</v>
      </c>
      <c r="C84" s="4" t="str">
        <f ca="1">IFERROR(__xludf.DUMMYFUNCTION("""COMPUTED_VALUE"""),"SSY1-RTL15BET-1CERP25")</f>
        <v>SSY1-RTL15BET-1CERP25</v>
      </c>
      <c r="D84" s="4" t="str">
        <f ca="1">IFERROR(__xludf.DUMMYFUNCTION("""COMPUTED_VALUE"""),"Продление подписки на обновления 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через"&amp;"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т."&amp;"ч.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4" s="4" t="str">
        <f ca="1">IFERROR(__xludf.DUMMYFUNCTION("""COMPUTED_VALUE"""),"Продление подписки на обновления 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ERP Управление предприятием 2.5», для работы с маркированным товаром: АЛКОГОЛЬ, ТАБАК и товары по штрихкодам  на 1 (один) год</v>
      </c>
      <c r="F84" s="5">
        <f ca="1">IFERROR(__xludf.DUMMYFUNCTION("""COMPUTED_VALUE"""),3710)</f>
        <v>3710</v>
      </c>
    </row>
    <row r="85" spans="1:6" ht="72" customHeight="1" x14ac:dyDescent="0.2">
      <c r="A85" s="4" t="str">
        <f ca="1">IFERROR(__xludf.DUMMYFUNCTION("""COMPUTED_VALUE"""),"«1С: ERP Управление предприятием 2.5»")</f>
        <v>«1С: ERP Управление предприятием 2.5»</v>
      </c>
      <c r="B85" s="4" t="str">
        <f ca="1">IFERROR(__xludf.DUMMYFUNCTION("""COMPUTED_VALUE"""),"с ЕГАИС и МОТП, МЕГАМАРКЕТ")</f>
        <v>с ЕГАИС и МОТП, МЕГАМАРКЕТ</v>
      </c>
      <c r="C85" s="4" t="str">
        <f ca="1">IFERROR(__xludf.DUMMYFUNCTION("""COMPUTED_VALUE"""),"SSY1-RTL15CET-1CERP25")</f>
        <v>SSY1-RTL15CET-1CERP25</v>
      </c>
      <c r="D85" s="4" t="str">
        <f ca="1">IFERROR(__xludf.DUMMYFUNCTION("""COMPUTED_VALUE"""),"Продление подписки на обновления 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"&amp;"Интернет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т.ч"&amp;".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ост"&amp;"атках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5" s="4" t="str">
        <f ca="1">IFERROR(__xludf.DUMMYFUNCTION("""COMPUTED_VALUE"""),"Продление подписки на обновления 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ERP Управление предприятием 2.5», для работы с маркированным товаром: АЛКОГОЛЬ, ТАБАК и товары по штрихкодам  на 1 (один) год</v>
      </c>
      <c r="F85" s="5">
        <f ca="1">IFERROR(__xludf.DUMMYFUNCTION("""COMPUTED_VALUE"""),5270)</f>
        <v>5270</v>
      </c>
    </row>
    <row r="86" spans="1:6" ht="72" customHeight="1" x14ac:dyDescent="0.2">
      <c r="A86" s="4" t="str">
        <f ca="1">IFERROR(__xludf.DUMMYFUNCTION("""COMPUTED_VALUE"""),"«1С: ERP Управление предприятием 2.5»")</f>
        <v>«1С: ERP Управление предприятием 2.5»</v>
      </c>
      <c r="B86" s="4" t="str">
        <f ca="1">IFERROR(__xludf.DUMMYFUNCTION("""COMPUTED_VALUE"""),"ШМОТКИ, БАЗОВЫЙ")</f>
        <v>ШМОТКИ, БАЗОВЫЙ</v>
      </c>
      <c r="C86" s="4" t="str">
        <f ca="1">IFERROR(__xludf.DUMMYFUNCTION("""COMPUTED_VALUE"""),"SSY1-RTL15AK-1CERP25")</f>
        <v>SSY1-RTL15AK-1CERP25</v>
      </c>
      <c r="D86" s="4" t="str">
        <f ca="1">IFERROR(__xludf.DUMMYFUNCTION("""COMPUTED_VALUE"""),"Продление подписки на обновления 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через"&amp;"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справочнико"&amp;"в,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Продление подписки на обновления 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6" s="4" t="str">
        <f ca="1">IFERROR(__xludf.DUMMYFUNCTION("""COMPUTED_VALUE"""),"Продление подписки на обновления 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ERP Управление предприятием 2.5», для работы с маркированным товаром: ОБУВЬ, ОДЕЖДА, ПАРФЮМ, ШИНЫ и товары по штрихкодам  на 1 (один) год</v>
      </c>
      <c r="F86" s="5">
        <f ca="1">IFERROR(__xludf.DUMMYFUNCTION("""COMPUTED_VALUE"""),2430)</f>
        <v>2430</v>
      </c>
    </row>
    <row r="87" spans="1:6" ht="72" customHeight="1" x14ac:dyDescent="0.2">
      <c r="A87" s="4" t="str">
        <f ca="1">IFERROR(__xludf.DUMMYFUNCTION("""COMPUTED_VALUE"""),"«1С: ERP Управление предприятием 2.5»")</f>
        <v>«1С: ERP Управление предприятием 2.5»</v>
      </c>
      <c r="B87" s="4" t="str">
        <f ca="1">IFERROR(__xludf.DUMMYFUNCTION("""COMPUTED_VALUE"""),"ШМОТКИ, РАСШИРЕННЫЙ")</f>
        <v>ШМОТКИ, РАСШИРЕННЫЙ</v>
      </c>
      <c r="C87" s="4" t="str">
        <f ca="1">IFERROR(__xludf.DUMMYFUNCTION("""COMPUTED_VALUE"""),"SSY1-RTL15BK-1CERP25")</f>
        <v>SSY1-RTL15BK-1CERP25</v>
      </c>
      <c r="D87" s="4" t="str">
        <f ca="1">IFERROR(__xludf.DUMMYFUNCTION("""COMPUTED_VALUE"""),"Продление подписки на обновления 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ч"&amp;"ерез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справоч"&amp;"ников,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н"&amp;"а обновления и обмен через Интернет на 1 (один) год")</f>
        <v>Продление подписки на обновления 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7" s="4" t="str">
        <f ca="1">IFERROR(__xludf.DUMMYFUNCTION("""COMPUTED_VALUE"""),"Продление подписки на обновления 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«1С: ERP Управление предприятием 2.5», для работы с маркированным товаром: ОБУВЬ, ОДЕЖДА, ПАРФЮМ, ШИНЫ и товары по штрихкодам  на 1 (один) год</v>
      </c>
      <c r="F87" s="5">
        <f ca="1">IFERROR(__xludf.DUMMYFUNCTION("""COMPUTED_VALUE"""),3710)</f>
        <v>3710</v>
      </c>
    </row>
    <row r="88" spans="1:6" ht="72" customHeight="1" x14ac:dyDescent="0.2">
      <c r="A88" s="4" t="str">
        <f ca="1">IFERROR(__xludf.DUMMYFUNCTION("""COMPUTED_VALUE"""),"«1С: ERP Управление предприятием 2.5»")</f>
        <v>«1С: ERP Управление предприятием 2.5»</v>
      </c>
      <c r="B88" s="4" t="str">
        <f ca="1">IFERROR(__xludf.DUMMYFUNCTION("""COMPUTED_VALUE"""),"ШМОТКИ, МЕГАМАРКЕТ")</f>
        <v>ШМОТКИ, МЕГАМАРКЕТ</v>
      </c>
      <c r="C88" s="4" t="str">
        <f ca="1">IFERROR(__xludf.DUMMYFUNCTION("""COMPUTED_VALUE"""),"SSY1-RTL15CK-1CERP25")</f>
        <v>SSY1-RTL15CK-1CERP25</v>
      </c>
      <c r="D88" s="4" t="str">
        <f ca="1">IFERROR(__xludf.DUMMYFUNCTION("""COMPUTED_VALUE"""),"Продление подписки на обновления 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че"&amp;"рез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справочн"&amp;"иков,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ус"&amp;"тройство, подписка на обновления и обмен через Интернет на 1 (один) год")</f>
        <v>Продление подписки на обновления 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8" s="4" t="str">
        <f ca="1">IFERROR(__xludf.DUMMYFUNCTION("""COMPUTED_VALUE"""),"Продление подписки на обновления 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«1С: ERP Управление предприятием 2.5», для работы с маркированным товаром: ОБУВЬ, ОДЕЖДА, ПАРФЮМ, ШИНЫ и товары по штрихкодам  на 1 (один) год</v>
      </c>
      <c r="F88" s="5">
        <f ca="1">IFERROR(__xludf.DUMMYFUNCTION("""COMPUTED_VALUE"""),5270)</f>
        <v>5270</v>
      </c>
    </row>
    <row r="89" spans="1:6" ht="72" customHeight="1" x14ac:dyDescent="0.2">
      <c r="A89" s="4" t="str">
        <f ca="1">IFERROR(__xludf.DUMMYFUNCTION("""COMPUTED_VALUE"""),"«1С: ERP Управление предприятием 2.5»")</f>
        <v>«1С: ERP Управление предприятием 2.5»</v>
      </c>
      <c r="B89" s="4" t="str">
        <f ca="1">IFERROR(__xludf.DUMMYFUNCTION("""COMPUTED_VALUE"""),"ПРОДУКТОВЫЙ, БАЗОВЫЙ")</f>
        <v>ПРОДУКТОВЫЙ, БАЗОВЫЙ</v>
      </c>
      <c r="C89" s="4" t="str">
        <f ca="1">IFERROR(__xludf.DUMMYFUNCTION("""COMPUTED_VALUE"""),"SSY1-RTL15AG-1CERP25")</f>
        <v>SSY1-RTL15AG-1CERP25</v>
      </c>
      <c r="D89" s="4" t="str">
        <f ca="1">IFERROR(__xludf.DUMMYFUNCTION("""COMPUTED_VALUE"""),"Продление подписки на обновления 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выбо"&amp;"р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89" s="4" t="str">
        <f ca="1">IFERROR(__xludf.DUMMYFUNCTION("""COMPUTED_VALUE"""),"Продление подписки на обновления 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 на 1 (од"&amp;"ин) год")</f>
        <v>Продление подписки на обновления Mobile SMARTS: Магазин 15 ПРОДУКТОВЫЙ, БАЗОВЫЙ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 на 1 (один) год</v>
      </c>
      <c r="F89" s="5">
        <f ca="1">IFERROR(__xludf.DUMMYFUNCTION("""COMPUTED_VALUE"""),2910)</f>
        <v>2910</v>
      </c>
    </row>
    <row r="90" spans="1:6" ht="72" customHeight="1" x14ac:dyDescent="0.2">
      <c r="A90" s="4" t="str">
        <f ca="1">IFERROR(__xludf.DUMMYFUNCTION("""COMPUTED_VALUE"""),"«1С: ERP Управление предприятием 2.5»")</f>
        <v>«1С: ERP Управление предприятием 2.5»</v>
      </c>
      <c r="B90" s="4" t="str">
        <f ca="1">IFERROR(__xludf.DUMMYFUNCTION("""COMPUTED_VALUE"""),"ПРОДУКТОВЫЙ, РАСШИРЕННЫЙ")</f>
        <v>ПРОДУКТОВЫЙ, РАСШИРЕННЫЙ</v>
      </c>
      <c r="C90" s="4" t="str">
        <f ca="1">IFERROR(__xludf.DUMMYFUNCTION("""COMPUTED_VALUE"""),"SSY1-RTL15BG-1CERP25")</f>
        <v>SSY1-RTL15BG-1CERP25</v>
      </c>
      <c r="D90" s="4" t="str">
        <f ca="1">IFERROR(__xludf.DUMMYFUNCTION("""COMPUTED_VALUE"""),"Продление подписки на обновления 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"&amp;"выбор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при"&amp;"нтер),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с"&amp;"кладах,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0" s="4" t="str">
        <f ca="1">IFERROR(__xludf.DUMMYFUNCTION("""COMPUTED_VALUE"""),"Продление подписки на обновления 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 на 1"&amp;" (один) год")</f>
        <v>Продление подписки на обновления Mobile SMARTS: Магазин 15 ПРОДУКТОВЫЙ, РАСШИРЕННЫЙ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 на 1 (один) год</v>
      </c>
      <c r="F90" s="5">
        <f ca="1">IFERROR(__xludf.DUMMYFUNCTION("""COMPUTED_VALUE"""),4190)</f>
        <v>4190</v>
      </c>
    </row>
    <row r="91" spans="1:6" ht="72" customHeight="1" x14ac:dyDescent="0.2">
      <c r="A91" s="4" t="str">
        <f ca="1">IFERROR(__xludf.DUMMYFUNCTION("""COMPUTED_VALUE"""),"«1С: ERP Управление предприятием 2.5»")</f>
        <v>«1С: ERP Управление предприятием 2.5»</v>
      </c>
      <c r="B91" s="4" t="str">
        <f ca="1">IFERROR(__xludf.DUMMYFUNCTION("""COMPUTED_VALUE"""),"ПРОДУКТОВЫЙ, МЕГАМАРКЕТ")</f>
        <v>ПРОДУКТОВЫЙ, МЕГАМАРКЕТ</v>
      </c>
      <c r="C91" s="4" t="str">
        <f ca="1">IFERROR(__xludf.DUMMYFUNCTION("""COMPUTED_VALUE"""),"SSY1-RTL15CG-1CERP25")</f>
        <v>SSY1-RTL15CG-1CERP25</v>
      </c>
      <c r="D91" s="4" t="str">
        <f ca="1">IFERROR(__xludf.DUMMYFUNCTION("""COMPUTED_VALUE"""),"Продление подписки на обновления 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в"&amp;"ыбор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прин"&amp;"тер),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ин"&amp;"формация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1" s="4" t="str">
        <f ca="1">IFERROR(__xludf.DUMMYFUNCTION("""COMPUTED_VALUE"""),"Продление подписки на обновления 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 на 1 "&amp;"(один) год")</f>
        <v>Продление подписки на обновления Mobile SMARTS: Магазин 15 ПРОДУКТОВЫЙ, МЕГАМАРКЕТ для «1С: ERP Управление предприятием 2.5», для работы с маркированным товаром: АЛКОГОЛЬ, ПИВО, ТАБАК, МОЛОКО, ВОДА, ОДЕЖДА, ОБУВЬ, ДУХИ, ШИНЫ и товаром по штрихкодам  на 1 (один) год</v>
      </c>
      <c r="F91" s="5">
        <f ca="1">IFERROR(__xludf.DUMMYFUNCTION("""COMPUTED_VALUE"""),5650)</f>
        <v>5650</v>
      </c>
    </row>
    <row r="92" spans="1:6" ht="72" customHeight="1" x14ac:dyDescent="0.2">
      <c r="A92" s="4" t="str">
        <f ca="1">IFERROR(__xludf.DUMMYFUNCTION("""COMPUTED_VALUE"""),"«1С: Комплексная автоматизация 2.0»")</f>
        <v>«1С: Комплексная автоматизация 2.0»</v>
      </c>
      <c r="B92" s="4" t="str">
        <f ca="1">IFERROR(__xludf.DUMMYFUNCTION("""COMPUTED_VALUE"""),"МИНИМУМ")</f>
        <v>МИНИМУМ</v>
      </c>
      <c r="C92" s="4" t="str">
        <f ca="1">IFERROR(__xludf.DUMMYFUNCTION("""COMPUTED_VALUE"""),"SSY1-RTL15M-1CKA20")</f>
        <v>SSY1-RTL15M-1CKA20</v>
      </c>
      <c r="D92" s="4" t="str">
        <f ca="1">IFERROR(__xludf.DUMMYFUNCTION("""COMPUTED_VALUE"""),"Продление подписки на обновления Mobile SMARTS: Магазин 15, МИНИМУМ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сбор штрихкодов"&amp;",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обновлени"&amp;"я и обмен через Интернет на 1 (один) год")</f>
        <v>Продление подписки на обновления Mobile SMARTS: Магазин 15, МИНИМУМ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2" s="4" t="str">
        <f ca="1">IFERROR(__xludf.DUMMYFUNCTION("""COMPUTED_VALUE"""),"Продление подписки на обновления Mobile SMARTS: Магазин 15, МИНИМУМ для «1С: Комплексная автоматизация 2.0», для работы с товаром по штрихкодам  на 1 (один) год")</f>
        <v>Продление подписки на обновления Mobile SMARTS: Магазин 15, МИНИМУМ для «1С: Комплексная автоматизация 2.0», для работы с товаром по штрихкодам  на 1 (один) год</v>
      </c>
      <c r="F92" s="5">
        <f ca="1">IFERROR(__xludf.DUMMYFUNCTION("""COMPUTED_VALUE"""),690)</f>
        <v>690</v>
      </c>
    </row>
    <row r="93" spans="1:6" ht="72" customHeight="1" x14ac:dyDescent="0.2">
      <c r="A93" s="4" t="str">
        <f ca="1">IFERROR(__xludf.DUMMYFUNCTION("""COMPUTED_VALUE"""),"«1С: Комплексная автоматизация 2.0»")</f>
        <v>«1С: Комплексная автоматизация 2.0»</v>
      </c>
      <c r="B93" s="4" t="str">
        <f ca="1">IFERROR(__xludf.DUMMYFUNCTION("""COMPUTED_VALUE"""),"БАЗОВЫЙ")</f>
        <v>БАЗОВЫЙ</v>
      </c>
      <c r="C93" s="4" t="str">
        <f ca="1">IFERROR(__xludf.DUMMYFUNCTION("""COMPUTED_VALUE"""),"SSY1-RTL15A-1CKA20")</f>
        <v>SSY1-RTL15A-1CKA20</v>
      </c>
      <c r="D93" s="4" t="str">
        <f ca="1">IFERROR(__xludf.DUMMYFUNCTION("""COMPUTED_VALUE"""),"Продление подписки на обновления Mobile SMARTS: Магазин 15, БАЗОВЫЙ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Комплексная автоматизация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3" s="4" t="str">
        <f ca="1">IFERROR(__xludf.DUMMYFUNCTION("""COMPUTED_VALUE"""),"Продление подписки на обновления Mobile SMARTS: Магазин 15, БАЗОВЫЙ для «1С: Комплексная автоматизация 2.0», для работы с товаром по штрихкодам  на 1 (один) год")</f>
        <v>Продление подписки на обновления Mobile SMARTS: Магазин 15, БАЗОВЫЙ для «1С: Комплексная автоматизация 2.0», для работы с товаром по штрихкодам  на 1 (один) год</v>
      </c>
      <c r="F93" s="5">
        <f ca="1">IFERROR(__xludf.DUMMYFUNCTION("""COMPUTED_VALUE"""),1730)</f>
        <v>1730</v>
      </c>
    </row>
    <row r="94" spans="1:6" ht="72" customHeight="1" x14ac:dyDescent="0.2">
      <c r="A94" s="4" t="str">
        <f ca="1">IFERROR(__xludf.DUMMYFUNCTION("""COMPUTED_VALUE"""),"«1С: Комплексная автоматизация 2.0»")</f>
        <v>«1С: Комплексная автоматизация 2.0»</v>
      </c>
      <c r="B94" s="4" t="str">
        <f ca="1">IFERROR(__xludf.DUMMYFUNCTION("""COMPUTED_VALUE"""),"РАСШИРЕННЫЙ")</f>
        <v>РАСШИРЕННЫЙ</v>
      </c>
      <c r="C94" s="4" t="str">
        <f ca="1">IFERROR(__xludf.DUMMYFUNCTION("""COMPUTED_VALUE"""),"SSY1-RTL15B-1CKA20")</f>
        <v>SSY1-RTL15B-1CKA20</v>
      </c>
      <c r="D94" s="4" t="str">
        <f ca="1">IFERROR(__xludf.DUMMYFUNCTION("""COMPUTED_VALUE"""),"Продление подписки на обновления Mobile SMARTS: Магазин 15, РАСШИРЕННЫЙ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поступление"&amp;",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4" s="4" t="str">
        <f ca="1">IFERROR(__xludf.DUMMYFUNCTION("""COMPUTED_VALUE"""),"Продление подписки на обновления Mobile SMARTS: Магазин 15, РАСШИРЕННЫЙ для «1С: Комплексная автоматизация 2.0», для работы с товаром по штрихкодам  на 1 (один) год")</f>
        <v>Продление подписки на обновления Mobile SMARTS: Магазин 15, РАСШИРЕННЫЙ для «1С: Комплексная автоматизация 2.0», для работы с товаром по штрихкодам  на 1 (один) год</v>
      </c>
      <c r="F94" s="5">
        <f ca="1">IFERROR(__xludf.DUMMYFUNCTION("""COMPUTED_VALUE"""),3010)</f>
        <v>3010</v>
      </c>
    </row>
    <row r="95" spans="1:6" ht="72" customHeight="1" x14ac:dyDescent="0.2">
      <c r="A95" s="4" t="str">
        <f ca="1">IFERROR(__xludf.DUMMYFUNCTION("""COMPUTED_VALUE"""),"«1С: Комплексная автоматизация 2.0»")</f>
        <v>«1С: Комплексная автоматизация 2.0»</v>
      </c>
      <c r="B95" s="4" t="str">
        <f ca="1">IFERROR(__xludf.DUMMYFUNCTION("""COMPUTED_VALUE"""),"МЕГАМАРКЕТ")</f>
        <v>МЕГАМАРКЕТ</v>
      </c>
      <c r="C95" s="4" t="str">
        <f ca="1">IFERROR(__xludf.DUMMYFUNCTION("""COMPUTED_VALUE"""),"SSY1-RTL15C-1CKA20")</f>
        <v>SSY1-RTL15C-1CKA20</v>
      </c>
      <c r="D95" s="4" t="str">
        <f ca="1">IFERROR(__xludf.DUMMYFUNCTION("""COMPUTED_VALUE"""),"Продление подписки на обновления Mobile SMARTS: Магазин 15, МЕГАМАРКЕТ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Комплексная автоматизация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5" s="4" t="str">
        <f ca="1">IFERROR(__xludf.DUMMYFUNCTION("""COMPUTED_VALUE"""),"Продление подписки на обновления Mobile SMARTS: Магазин 15, МЕГАМАРКЕТ для «1С: Комплексная автоматизация 2.0», для работы с товаром по штрихкодам  на 1 (один) год")</f>
        <v>Продление подписки на обновления Mobile SMARTS: Магазин 15, МЕГАМАРКЕТ для «1С: Комплексная автоматизация 2.0», для работы с товаром по штрихкодам  на 1 (один) год</v>
      </c>
      <c r="F95" s="5">
        <f ca="1">IFERROR(__xludf.DUMMYFUNCTION("""COMPUTED_VALUE"""),4310)</f>
        <v>4310</v>
      </c>
    </row>
    <row r="96" spans="1:6" ht="72" customHeight="1" x14ac:dyDescent="0.2">
      <c r="A96" s="4" t="str">
        <f ca="1">IFERROR(__xludf.DUMMYFUNCTION("""COMPUTED_VALUE"""),"«1С: Комплексная автоматизация 2.0»")</f>
        <v>«1С: Комплексная автоматизация 2.0»</v>
      </c>
      <c r="B96" s="4" t="str">
        <f ca="1">IFERROR(__xludf.DUMMYFUNCTION("""COMPUTED_VALUE"""),"с ЕГАИС, БАЗОВЫЙ")</f>
        <v>с ЕГАИС, БАЗОВЫЙ</v>
      </c>
      <c r="C96" s="4" t="str">
        <f ca="1">IFERROR(__xludf.DUMMYFUNCTION("""COMPUTED_VALUE"""),"SSY1-RTL15AE-1CKA20")</f>
        <v>SSY1-RTL15AE-1CKA20</v>
      </c>
      <c r="D96" s="4" t="str">
        <f ca="1">IFERROR(__xludf.DUMMYFUNCTION("""COMPUTED_VALUE"""),"Продление подписки на обновления Mobile SMARTS: Магазин 15 с ЕГАИС, БАЗОВЫЙ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не"&amp;"т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ЕГАИС, БАЗОВЫЙ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6" s="4" t="str">
        <f ca="1">IFERROR(__xludf.DUMMYFUNCTION("""COMPUTED_VALUE"""),"Продление подписки на обновления Mobile SMARTS: Магазин 15 с ЕГАИС, БАЗОВЫЙ для «1С: Комплексная автоматизация 2.0»,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Комплексная автоматизация 2.0», для работы с маркированным товаром: алкоголь ЕГАИС и товары по штрихкодам  на 1 (один) год</v>
      </c>
      <c r="F96" s="5">
        <f ca="1">IFERROR(__xludf.DUMMYFUNCTION("""COMPUTED_VALUE"""),2200)</f>
        <v>2200</v>
      </c>
    </row>
    <row r="97" spans="1:6" ht="72" customHeight="1" x14ac:dyDescent="0.2">
      <c r="A97" s="4" t="str">
        <f ca="1">IFERROR(__xludf.DUMMYFUNCTION("""COMPUTED_VALUE"""),"«1С: Комплексная автоматизация 2.0»")</f>
        <v>«1С: Комплексная автоматизация 2.0»</v>
      </c>
      <c r="B97" s="4" t="str">
        <f ca="1">IFERROR(__xludf.DUMMYFUNCTION("""COMPUTED_VALUE"""),"с ЕГАИС, РАСШИРЕННЫЙ")</f>
        <v>с ЕГАИС, РАСШИРЕННЫЙ</v>
      </c>
      <c r="C97" s="4" t="str">
        <f ca="1">IFERROR(__xludf.DUMMYFUNCTION("""COMPUTED_VALUE"""),"SSY1-RTL15BE-1CKA20")</f>
        <v>SSY1-RTL15BE-1CKA20</v>
      </c>
      <c r="D97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 с ЕГАИС, РАСШИРЕННЫЙ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7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2.0»,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Комплексная автоматизация 2.0», для работы с маркированным товаром: алкоголь ЕГАИС и товары по штрихкодам  на 1 (один) год</v>
      </c>
      <c r="F97" s="5">
        <f ca="1">IFERROR(__xludf.DUMMYFUNCTION("""COMPUTED_VALUE"""),3490)</f>
        <v>3490</v>
      </c>
    </row>
    <row r="98" spans="1:6" ht="72" customHeight="1" x14ac:dyDescent="0.2">
      <c r="A98" s="4" t="str">
        <f ca="1">IFERROR(__xludf.DUMMYFUNCTION("""COMPUTED_VALUE"""),"«1С: Комплексная автоматизация 2.0»")</f>
        <v>«1С: Комплексная автоматизация 2.0»</v>
      </c>
      <c r="B98" s="4" t="str">
        <f ca="1">IFERROR(__xludf.DUMMYFUNCTION("""COMPUTED_VALUE"""),"с ЕГАИС (без CheckMark2), МЕГАМАРКЕТ")</f>
        <v>с ЕГАИС (без CheckMark2), МЕГАМАРКЕТ</v>
      </c>
      <c r="C98" s="4" t="str">
        <f ca="1">IFERROR(__xludf.DUMMYFUNCTION("""COMPUTED_VALUE"""),"SSY1-RTL15CEV-1CKA20")</f>
        <v>SSY1-RTL15CEV-1CKA20</v>
      </c>
      <c r="D98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обмен"&amp;"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QR-код"&amp;"ов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98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Комплексная автоматизация 2.0», для работы с маркированным товаром: алкоголь ЕГАИС и товары по штрихкодам  на 1 (один) год</v>
      </c>
      <c r="F98" s="5">
        <f ca="1">IFERROR(__xludf.DUMMYFUNCTION("""COMPUTED_VALUE"""),4770)</f>
        <v>4770</v>
      </c>
    </row>
    <row r="99" spans="1:6" ht="72" customHeight="1" x14ac:dyDescent="0.2">
      <c r="A99" s="4" t="str">
        <f ca="1">IFERROR(__xludf.DUMMYFUNCTION("""COMPUTED_VALUE"""),"«1С: Комплексная автоматизация 2.2»")</f>
        <v>«1С: Комплексная автоматизация 2.2»</v>
      </c>
      <c r="B99" s="4" t="str">
        <f ca="1">IFERROR(__xludf.DUMMYFUNCTION("""COMPUTED_VALUE"""),"МИНИМУМ")</f>
        <v>МИНИМУМ</v>
      </c>
      <c r="C99" s="4" t="str">
        <f ca="1">IFERROR(__xludf.DUMMYFUNCTION("""COMPUTED_VALUE"""),"SSY1-RTL15M-1CKA22")</f>
        <v>SSY1-RTL15M-1CKA22</v>
      </c>
      <c r="D99" s="4" t="str">
        <f ca="1">IFERROR(__xludf.DUMMYFUNCTION("""COMPUTED_VALUE"""),"Продление подписки на обновления Mobile SMARTS: Магазин 15, МИНИМУМ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сбор штрихкодов"&amp;",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обновлени"&amp;"я и обмен через Интернет на 1 (один) год")</f>
        <v>Продление подписки на обновления Mobile SMARTS: Магазин 15, МИНИМУМ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99" s="4" t="str">
        <f ca="1">IFERROR(__xludf.DUMMYFUNCTION("""COMPUTED_VALUE"""),"Продление подписки на обновления Mobile SMARTS: Магазин 15, МИНИМУМ для «1С: Комплексная автоматизация 2.2», для работы с товаром по штрихкодам  на 1 (один) год")</f>
        <v>Продление подписки на обновления Mobile SMARTS: Магазин 15, МИНИМУМ для «1С: Комплексная автоматизация 2.2», для работы с товаром по штрихкодам  на 1 (один) год</v>
      </c>
      <c r="F99" s="5">
        <f ca="1">IFERROR(__xludf.DUMMYFUNCTION("""COMPUTED_VALUE"""),690)</f>
        <v>690</v>
      </c>
    </row>
    <row r="100" spans="1:6" ht="72" customHeight="1" x14ac:dyDescent="0.2">
      <c r="A100" s="4" t="str">
        <f ca="1">IFERROR(__xludf.DUMMYFUNCTION("""COMPUTED_VALUE"""),"«1С: Комплексная автоматизация 2.2»")</f>
        <v>«1С: Комплексная автоматизация 2.2»</v>
      </c>
      <c r="B100" s="4" t="str">
        <f ca="1">IFERROR(__xludf.DUMMYFUNCTION("""COMPUTED_VALUE"""),"БАЗОВЫЙ")</f>
        <v>БАЗОВЫЙ</v>
      </c>
      <c r="C100" s="4" t="str">
        <f ca="1">IFERROR(__xludf.DUMMYFUNCTION("""COMPUTED_VALUE"""),"SSY1-RTL15A-1CKA22")</f>
        <v>SSY1-RTL15A-1CKA22</v>
      </c>
      <c r="D100" s="4" t="str">
        <f ca="1">IFERROR(__xludf.DUMMYFUNCTION("""COMPUTED_VALUE"""),"Продление подписки на обновления Mobile SMARTS: Магазин 15, БАЗОВЫЙ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Комплексная автоматизация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0" s="4" t="str">
        <f ca="1">IFERROR(__xludf.DUMMYFUNCTION("""COMPUTED_VALUE"""),"Продление подписки на обновления Mobile SMARTS: Магазин 15, БАЗОВЫЙ для «1С: Комплексная автоматизация 2.2», для работы с товаром по штрихкодам  на 1 (один) год")</f>
        <v>Продление подписки на обновления Mobile SMARTS: Магазин 15, БАЗОВЫЙ для «1С: Комплексная автоматизация 2.2», для работы с товаром по штрихкодам  на 1 (один) год</v>
      </c>
      <c r="F100" s="5">
        <f ca="1">IFERROR(__xludf.DUMMYFUNCTION("""COMPUTED_VALUE"""),1730)</f>
        <v>1730</v>
      </c>
    </row>
    <row r="101" spans="1:6" ht="72" customHeight="1" x14ac:dyDescent="0.2">
      <c r="A101" s="4" t="str">
        <f ca="1">IFERROR(__xludf.DUMMYFUNCTION("""COMPUTED_VALUE"""),"«1С: Комплексная автоматизация 2.2»")</f>
        <v>«1С: Комплексная автоматизация 2.2»</v>
      </c>
      <c r="B101" s="4" t="str">
        <f ca="1">IFERROR(__xludf.DUMMYFUNCTION("""COMPUTED_VALUE"""),"РАСШИРЕННЫЙ")</f>
        <v>РАСШИРЕННЫЙ</v>
      </c>
      <c r="C101" s="4" t="str">
        <f ca="1">IFERROR(__xludf.DUMMYFUNCTION("""COMPUTED_VALUE"""),"SSY1-RTL15B-1CKA22")</f>
        <v>SSY1-RTL15B-1CKA22</v>
      </c>
      <c r="D101" s="4" t="str">
        <f ca="1">IFERROR(__xludf.DUMMYFUNCTION("""COMPUTED_VALUE"""),"Продление подписки на обновления Mobile SMARTS: Магазин 15, РАСШИРЕННЫЙ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поступление"&amp;",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1" s="4" t="str">
        <f ca="1">IFERROR(__xludf.DUMMYFUNCTION("""COMPUTED_VALUE"""),"Продление подписки на обновления Mobile SMARTS: Магазин 15, РАСШИРЕННЫЙ для «1С: Комплексная автоматизация 2.2», для работы с товаром по штрихкодам  на 1 (один) год")</f>
        <v>Продление подписки на обновления Mobile SMARTS: Магазин 15, РАСШИРЕННЫЙ для «1С: Комплексная автоматизация 2.2», для работы с товаром по штрихкодам  на 1 (один) год</v>
      </c>
      <c r="F101" s="5">
        <f ca="1">IFERROR(__xludf.DUMMYFUNCTION("""COMPUTED_VALUE"""),3010)</f>
        <v>3010</v>
      </c>
    </row>
    <row r="102" spans="1:6" ht="72" customHeight="1" x14ac:dyDescent="0.2">
      <c r="A102" s="4" t="str">
        <f ca="1">IFERROR(__xludf.DUMMYFUNCTION("""COMPUTED_VALUE"""),"«1С: Комплексная автоматизация 2.2»")</f>
        <v>«1С: Комплексная автоматизация 2.2»</v>
      </c>
      <c r="B102" s="4" t="str">
        <f ca="1">IFERROR(__xludf.DUMMYFUNCTION("""COMPUTED_VALUE"""),"МЕГАМАРКЕТ")</f>
        <v>МЕГАМАРКЕТ</v>
      </c>
      <c r="C102" s="4" t="str">
        <f ca="1">IFERROR(__xludf.DUMMYFUNCTION("""COMPUTED_VALUE"""),"SSY1-RTL15C-1CKA22")</f>
        <v>SSY1-RTL15C-1CKA22</v>
      </c>
      <c r="D102" s="4" t="str">
        <f ca="1">IFERROR(__xludf.DUMMYFUNCTION("""COMPUTED_VALUE"""),"Продление подписки на обновления Mobile SMARTS: Магазин 15, МЕГАМАРКЕТ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Комплексная автоматизация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2" s="4" t="str">
        <f ca="1">IFERROR(__xludf.DUMMYFUNCTION("""COMPUTED_VALUE"""),"Продление подписки на обновления Mobile SMARTS: Магазин 15, МЕГАМАРКЕТ для «1С: Комплексная автоматизация 2.2», для работы с товаром по штрихкодам  на 1 (один) год")</f>
        <v>Продление подписки на обновления Mobile SMARTS: Магазин 15, МЕГАМАРКЕТ для «1С: Комплексная автоматизация 2.2», для работы с товаром по штрихкодам  на 1 (один) год</v>
      </c>
      <c r="F102" s="5">
        <f ca="1">IFERROR(__xludf.DUMMYFUNCTION("""COMPUTED_VALUE"""),4310)</f>
        <v>4310</v>
      </c>
    </row>
    <row r="103" spans="1:6" ht="72" customHeight="1" x14ac:dyDescent="0.2">
      <c r="A103" s="4" t="str">
        <f ca="1">IFERROR(__xludf.DUMMYFUNCTION("""COMPUTED_VALUE"""),"«1С: Комплексная автоматизация 2.2»")</f>
        <v>«1С: Комплексная автоматизация 2.2»</v>
      </c>
      <c r="B103" s="4" t="str">
        <f ca="1">IFERROR(__xludf.DUMMYFUNCTION("""COMPUTED_VALUE"""),"с ЕГАИС, БАЗОВЫЙ")</f>
        <v>с ЕГАИС, БАЗОВЫЙ</v>
      </c>
      <c r="C103" s="4" t="str">
        <f ca="1">IFERROR(__xludf.DUMMYFUNCTION("""COMPUTED_VALUE"""),"SSY1-RTL15AE-1CKA22")</f>
        <v>SSY1-RTL15AE-1CKA22</v>
      </c>
      <c r="D103" s="4" t="str">
        <f ca="1">IFERROR(__xludf.DUMMYFUNCTION("""COMPUTED_VALUE"""),"Продление подписки на обновления Mobile SMARTS: Магазин 15 с ЕГАИС, БАЗОВЫЙ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не"&amp;"т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ЕГАИС, БАЗОВЫЙ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03" s="4" t="str">
        <f ca="1">IFERROR(__xludf.DUMMYFUNCTION("""COMPUTED_VALUE"""),"Продление подписки на обновления Mobile SMARTS: Магазин 15 с ЕГАИС, БАЗОВЫЙ для «1С: Комплексная автоматизация 2.2»,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Комплексная автоматизация 2.2», для работы с маркированным товаром: алкоголь ЕГАИС и товары по штрихкодам  на 1 (один) год</v>
      </c>
      <c r="F103" s="5">
        <f ca="1">IFERROR(__xludf.DUMMYFUNCTION("""COMPUTED_VALUE"""),2200)</f>
        <v>2200</v>
      </c>
    </row>
    <row r="104" spans="1:6" ht="72" customHeight="1" x14ac:dyDescent="0.2">
      <c r="A104" s="4" t="str">
        <f ca="1">IFERROR(__xludf.DUMMYFUNCTION("""COMPUTED_VALUE"""),"«1С: Комплексная автоматизация 2.2»")</f>
        <v>«1С: Комплексная автоматизация 2.2»</v>
      </c>
      <c r="B104" s="4" t="str">
        <f ca="1">IFERROR(__xludf.DUMMYFUNCTION("""COMPUTED_VALUE"""),"с ЕГАИС, РАСШИРЕННЫЙ")</f>
        <v>с ЕГАИС, РАСШИРЕННЫЙ</v>
      </c>
      <c r="C104" s="4" t="str">
        <f ca="1">IFERROR(__xludf.DUMMYFUNCTION("""COMPUTED_VALUE"""),"SSY1-RTL15BE-1CKA22")</f>
        <v>SSY1-RTL15BE-1CKA22</v>
      </c>
      <c r="D104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 с ЕГАИС, РАСШИРЕННЫЙ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4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2.2»,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Комплексная автоматизация 2.2», для работы с маркированным товаром: алкоголь ЕГАИС и товары по штрихкодам  на 1 (один) год</v>
      </c>
      <c r="F104" s="5">
        <f ca="1">IFERROR(__xludf.DUMMYFUNCTION("""COMPUTED_VALUE"""),3490)</f>
        <v>3490</v>
      </c>
    </row>
    <row r="105" spans="1:6" ht="72" customHeight="1" x14ac:dyDescent="0.2">
      <c r="A105" s="4" t="str">
        <f ca="1">IFERROR(__xludf.DUMMYFUNCTION("""COMPUTED_VALUE"""),"«1С: Комплексная автоматизация 2.2»")</f>
        <v>«1С: Комплексная автоматизация 2.2»</v>
      </c>
      <c r="B105" s="4" t="str">
        <f ca="1">IFERROR(__xludf.DUMMYFUNCTION("""COMPUTED_VALUE"""),"с ЕГАИС (без CheckMark2), МЕГАМАРКЕТ")</f>
        <v>с ЕГАИС (без CheckMark2), МЕГАМАРКЕТ</v>
      </c>
      <c r="C105" s="4" t="str">
        <f ca="1">IFERROR(__xludf.DUMMYFUNCTION("""COMPUTED_VALUE"""),"SSY1-RTL15CEV-1CKA22")</f>
        <v>SSY1-RTL15CEV-1CKA22</v>
      </c>
      <c r="D105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обмен"&amp;"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QR-код"&amp;"ов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5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Комплексная автоматизация 2.2», для работы с маркированным товаром: алкоголь ЕГАИС и товары по штрихкодам  на 1 (один) год</v>
      </c>
      <c r="F105" s="5">
        <f ca="1">IFERROR(__xludf.DUMMYFUNCTION("""COMPUTED_VALUE"""),4770)</f>
        <v>4770</v>
      </c>
    </row>
    <row r="106" spans="1:6" ht="72" customHeight="1" x14ac:dyDescent="0.2">
      <c r="A106" s="4" t="str">
        <f ca="1">IFERROR(__xludf.DUMMYFUNCTION("""COMPUTED_VALUE"""),"«1С: Комплексная автоматизация 2.4»")</f>
        <v>«1С: Комплексная автоматизация 2.4»</v>
      </c>
      <c r="B106" s="4" t="str">
        <f ca="1">IFERROR(__xludf.DUMMYFUNCTION("""COMPUTED_VALUE"""),"МИНИМУМ")</f>
        <v>МИНИМУМ</v>
      </c>
      <c r="C106" s="4" t="str">
        <f ca="1">IFERROR(__xludf.DUMMYFUNCTION("""COMPUTED_VALUE"""),"SSY1-RTL15M-1CKA24")</f>
        <v>SSY1-RTL15M-1CKA24</v>
      </c>
      <c r="D106" s="4" t="str">
        <f ca="1">IFERROR(__xludf.DUMMYFUNCTION("""COMPUTED_VALUE"""),"Продление подписки на обновления Mobile SMARTS: Магазин 15, МИНИМУМ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сбор штрихкодов"&amp;",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обновлени"&amp;"я и обмен через Интернет на 1 (один) год")</f>
        <v>Продление подписки на обновления Mobile SMARTS: Магазин 15, МИНИМУМ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06" s="4" t="str">
        <f ca="1">IFERROR(__xludf.DUMMYFUNCTION("""COMPUTED_VALUE"""),"Продление подписки на обновления Mobile SMARTS: Магазин 15, МИНИМУМ для «1С: Комплексная автоматизация 2.4», для работы с товаром по штрихкодам  на 1 (один) год")</f>
        <v>Продление подписки на обновления Mobile SMARTS: Магазин 15, МИНИМУМ для «1С: Комплексная автоматизация 2.4», для работы с товаром по штрихкодам  на 1 (один) год</v>
      </c>
      <c r="F106" s="5">
        <f ca="1">IFERROR(__xludf.DUMMYFUNCTION("""COMPUTED_VALUE"""),690)</f>
        <v>690</v>
      </c>
    </row>
    <row r="107" spans="1:6" ht="72" customHeight="1" x14ac:dyDescent="0.2">
      <c r="A107" s="4" t="str">
        <f ca="1">IFERROR(__xludf.DUMMYFUNCTION("""COMPUTED_VALUE"""),"«1С: Комплексная автоматизация 2.4»")</f>
        <v>«1С: Комплексная автоматизация 2.4»</v>
      </c>
      <c r="B107" s="4" t="str">
        <f ca="1">IFERROR(__xludf.DUMMYFUNCTION("""COMPUTED_VALUE"""),"БАЗОВЫЙ")</f>
        <v>БАЗОВЫЙ</v>
      </c>
      <c r="C107" s="4" t="str">
        <f ca="1">IFERROR(__xludf.DUMMYFUNCTION("""COMPUTED_VALUE"""),"SSY1-RTL15A-1CKA24")</f>
        <v>SSY1-RTL15A-1CKA24</v>
      </c>
      <c r="D107" s="4" t="str">
        <f ca="1">IFERROR(__xludf.DUMMYFUNCTION("""COMPUTED_VALUE"""),"Продление подписки на обновления Mobile SMARTS: Магазин 15, БАЗОВЫЙ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Комплексная автоматизация 2.4»,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7" s="4" t="str">
        <f ca="1">IFERROR(__xludf.DUMMYFUNCTION("""COMPUTED_VALUE"""),"Продление подписки на обновления Mobile SMARTS: Магазин 15, БАЗОВЫЙ для «1С: Комплексная автоматизация 2.4», для работы с товаром по штрихкодам  на 1 (один) год")</f>
        <v>Продление подписки на обновления Mobile SMARTS: Магазин 15, БАЗОВЫЙ для «1С: Комплексная автоматизация 2.4», для работы с товаром по штрихкодам  на 1 (один) год</v>
      </c>
      <c r="F107" s="5">
        <f ca="1">IFERROR(__xludf.DUMMYFUNCTION("""COMPUTED_VALUE"""),1730)</f>
        <v>1730</v>
      </c>
    </row>
    <row r="108" spans="1:6" ht="72" customHeight="1" x14ac:dyDescent="0.2">
      <c r="A108" s="4" t="str">
        <f ca="1">IFERROR(__xludf.DUMMYFUNCTION("""COMPUTED_VALUE"""),"«1С: Комплексная автоматизация 2.4»")</f>
        <v>«1С: Комплексная автоматизация 2.4»</v>
      </c>
      <c r="B108" s="4" t="str">
        <f ca="1">IFERROR(__xludf.DUMMYFUNCTION("""COMPUTED_VALUE"""),"РАСШИРЕННЫЙ")</f>
        <v>РАСШИРЕННЫЙ</v>
      </c>
      <c r="C108" s="4" t="str">
        <f ca="1">IFERROR(__xludf.DUMMYFUNCTION("""COMPUTED_VALUE"""),"SSY1-RTL15B-1CKA24")</f>
        <v>SSY1-RTL15B-1CKA24</v>
      </c>
      <c r="D108" s="4" t="str">
        <f ca="1">IFERROR(__xludf.DUMMYFUNCTION("""COMPUTED_VALUE"""),"Продление подписки на обновления Mobile SMARTS: Магазин 15, РАСШИРЕННЫЙ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поступление"&amp;",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8" s="4" t="str">
        <f ca="1">IFERROR(__xludf.DUMMYFUNCTION("""COMPUTED_VALUE"""),"Продление подписки на обновления Mobile SMARTS: Магазин 15, РАСШИРЕННЫЙ для «1С: Комплексная автоматизация 2.4», для работы с товаром по штрихкодам  на 1 (один) год")</f>
        <v>Продление подписки на обновления Mobile SMARTS: Магазин 15, РАСШИРЕННЫЙ для «1С: Комплексная автоматизация 2.4», для работы с товаром по штрихкодам  на 1 (один) год</v>
      </c>
      <c r="F108" s="5">
        <f ca="1">IFERROR(__xludf.DUMMYFUNCTION("""COMPUTED_VALUE"""),3010)</f>
        <v>3010</v>
      </c>
    </row>
    <row r="109" spans="1:6" ht="72" customHeight="1" x14ac:dyDescent="0.2">
      <c r="A109" s="4" t="str">
        <f ca="1">IFERROR(__xludf.DUMMYFUNCTION("""COMPUTED_VALUE"""),"«1С: Комплексная автоматизация 2.4»")</f>
        <v>«1С: Комплексная автоматизация 2.4»</v>
      </c>
      <c r="B109" s="4" t="str">
        <f ca="1">IFERROR(__xludf.DUMMYFUNCTION("""COMPUTED_VALUE"""),"МЕГАМАРКЕТ")</f>
        <v>МЕГАМАРКЕТ</v>
      </c>
      <c r="C109" s="4" t="str">
        <f ca="1">IFERROR(__xludf.DUMMYFUNCTION("""COMPUTED_VALUE"""),"SSY1-RTL15C-1CKA24")</f>
        <v>SSY1-RTL15C-1CKA24</v>
      </c>
      <c r="D109" s="4" t="str">
        <f ca="1">IFERROR(__xludf.DUMMYFUNCTION("""COMPUTED_VALUE"""),"Продление подписки на обновления Mobile SMARTS: Магазин 15, МЕГАМАРКЕТ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Комплексная автоматизация 2.4»,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09" s="4" t="str">
        <f ca="1">IFERROR(__xludf.DUMMYFUNCTION("""COMPUTED_VALUE"""),"Продление подписки на обновления Mobile SMARTS: Магазин 15, МЕГАМАРКЕТ для «1С: Комплексная автоматизация 2.4», для работы с товаром по штрихкодам  на 1 (один) год")</f>
        <v>Продление подписки на обновления Mobile SMARTS: Магазин 15, МЕГАМАРКЕТ для «1С: Комплексная автоматизация 2.4», для работы с товаром по штрихкодам  на 1 (один) год</v>
      </c>
      <c r="F109" s="5">
        <f ca="1">IFERROR(__xludf.DUMMYFUNCTION("""COMPUTED_VALUE"""),4310)</f>
        <v>4310</v>
      </c>
    </row>
    <row r="110" spans="1:6" ht="72" customHeight="1" x14ac:dyDescent="0.2">
      <c r="A110" s="4" t="str">
        <f ca="1">IFERROR(__xludf.DUMMYFUNCTION("""COMPUTED_VALUE"""),"«1С: Комплексная автоматизация 2.4»")</f>
        <v>«1С: Комплексная автоматизация 2.4»</v>
      </c>
      <c r="B110" s="4" t="str">
        <f ca="1">IFERROR(__xludf.DUMMYFUNCTION("""COMPUTED_VALUE"""),"с ЕГАИС, БАЗОВЫЙ")</f>
        <v>с ЕГАИС, БАЗОВЫЙ</v>
      </c>
      <c r="C110" s="4" t="str">
        <f ca="1">IFERROR(__xludf.DUMMYFUNCTION("""COMPUTED_VALUE"""),"SSY1-RTL15AE-1CKA24")</f>
        <v>SSY1-RTL15AE-1CKA24</v>
      </c>
      <c r="D110" s="4" t="str">
        <f ca="1">IFERROR(__xludf.DUMMYFUNCTION("""COMPUTED_VALUE"""),"Продление подписки на обновления Mobile SMARTS: Магазин 15 с ЕГАИС, БАЗОВЫЙ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не"&amp;"т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ЕГАИС, БАЗОВЫЙ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10" s="4" t="str">
        <f ca="1">IFERROR(__xludf.DUMMYFUNCTION("""COMPUTED_VALUE"""),"Продление подписки на обновления Mobile SMARTS: Магазин 15 с ЕГАИС, БАЗОВЫЙ для «1С: Комплексная автоматизация 2.4»,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Комплексная автоматизация 2.4», для работы с маркированным товаром: алкоголь ЕГАИС и товары по штрихкодам  на 1 (один) год</v>
      </c>
      <c r="F110" s="5">
        <f ca="1">IFERROR(__xludf.DUMMYFUNCTION("""COMPUTED_VALUE"""),2200)</f>
        <v>2200</v>
      </c>
    </row>
    <row r="111" spans="1:6" ht="72" customHeight="1" x14ac:dyDescent="0.2">
      <c r="A111" s="4" t="str">
        <f ca="1">IFERROR(__xludf.DUMMYFUNCTION("""COMPUTED_VALUE"""),"«1С: Комплексная автоматизация 2.4»")</f>
        <v>«1С: Комплексная автоматизация 2.4»</v>
      </c>
      <c r="B111" s="4" t="str">
        <f ca="1">IFERROR(__xludf.DUMMYFUNCTION("""COMPUTED_VALUE"""),"с ЕГАИС, РАСШИРЕННЫЙ")</f>
        <v>с ЕГАИС, РАСШИРЕННЫЙ</v>
      </c>
      <c r="C111" s="4" t="str">
        <f ca="1">IFERROR(__xludf.DUMMYFUNCTION("""COMPUTED_VALUE"""),"SSY1-RTL15BE-1CKA24")</f>
        <v>SSY1-RTL15BE-1CKA24</v>
      </c>
      <c r="D111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 с ЕГАИС, РАСШИРЕННЫЙ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1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2.4»,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Комплексная автоматизация 2.4», для работы с маркированным товаром: алкоголь ЕГАИС и товары по штрихкодам  на 1 (один) год</v>
      </c>
      <c r="F111" s="5">
        <f ca="1">IFERROR(__xludf.DUMMYFUNCTION("""COMPUTED_VALUE"""),3490)</f>
        <v>3490</v>
      </c>
    </row>
    <row r="112" spans="1:6" ht="72" customHeight="1" x14ac:dyDescent="0.2">
      <c r="A112" s="4" t="str">
        <f ca="1">IFERROR(__xludf.DUMMYFUNCTION("""COMPUTED_VALUE"""),"«1С: Комплексная автоматизация 2.4»")</f>
        <v>«1С: Комплексная автоматизация 2.4»</v>
      </c>
      <c r="B112" s="4" t="str">
        <f ca="1">IFERROR(__xludf.DUMMYFUNCTION("""COMPUTED_VALUE"""),"с ЕГАИС (без CheckMark2), МЕГАМАРКЕТ")</f>
        <v>с ЕГАИС (без CheckMark2), МЕГАМАРКЕТ</v>
      </c>
      <c r="C112" s="4" t="str">
        <f ca="1">IFERROR(__xludf.DUMMYFUNCTION("""COMPUTED_VALUE"""),"SSY1-RTL15CEV-1CKA24")</f>
        <v>SSY1-RTL15CEV-1CKA24</v>
      </c>
      <c r="D112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обмен"&amp;"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QR-код"&amp;"ов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2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Комплексная автоматизация 2.4», для работы с маркированным товаром: алкоголь ЕГАИС и товары по штрихкодам  на 1 (один) год</v>
      </c>
      <c r="F112" s="5">
        <f ca="1">IFERROR(__xludf.DUMMYFUNCTION("""COMPUTED_VALUE"""),4770)</f>
        <v>4770</v>
      </c>
    </row>
    <row r="113" spans="1:6" ht="72" customHeight="1" x14ac:dyDescent="0.2">
      <c r="A113" s="4" t="str">
        <f ca="1">IFERROR(__xludf.DUMMYFUNCTION("""COMPUTED_VALUE"""),"«1С: Комплексная автоматизация 2.4.11»")</f>
        <v>«1С: Комплексная автоматизация 2.4.11»</v>
      </c>
      <c r="B113" s="4" t="str">
        <f ca="1">IFERROR(__xludf.DUMMYFUNCTION("""COMPUTED_VALUE"""),"с МОТП, БАЗОВЫЙ")</f>
        <v>с МОТП, БАЗОВЫЙ</v>
      </c>
      <c r="C113" s="4" t="str">
        <f ca="1">IFERROR(__xludf.DUMMYFUNCTION("""COMPUTED_VALUE"""),"SSY1-RTL15AT-1CKA24")</f>
        <v>SSY1-RTL15AT-1CKA24</v>
      </c>
      <c r="D113" s="4" t="str">
        <f ca="1">IFERROR(__xludf.DUMMYFUNCTION("""COMPUTED_VALUE"""),"Продление подписки на обновления Mobile SMARTS: Магазин 15 с МОТП, БАЗОВЫЙ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нет онлай"&amp;"на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Продление подписки на обновления Mobile SMARTS: Магазин 15 с МОТП, БАЗОВЫЙ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3" s="4" t="str">
        <f ca="1">IFERROR(__xludf.DUMMYFUNCTION("""COMPUTED_VALUE"""),"Продление подписки на обновления Mobile SMARTS: Магазин 15 с МОТП, БАЗОВЫЙ для «1С: Комплексная автоматизация 2.4.11»,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Комплексная автоматизация 2.4.11», для работы с маркированным товаром: ТАБАК и товары по штрихкодам  на 1 (один) год</v>
      </c>
      <c r="F113" s="5">
        <f ca="1">IFERROR(__xludf.DUMMYFUNCTION("""COMPUTED_VALUE"""),2230)</f>
        <v>2230</v>
      </c>
    </row>
    <row r="114" spans="1:6" ht="72" customHeight="1" x14ac:dyDescent="0.2">
      <c r="A114" s="4" t="str">
        <f ca="1">IFERROR(__xludf.DUMMYFUNCTION("""COMPUTED_VALUE"""),"«1С: Комплексная автоматизация 2.4.11»")</f>
        <v>«1С: Комплексная автоматизация 2.4.11»</v>
      </c>
      <c r="B114" s="4" t="str">
        <f ca="1">IFERROR(__xludf.DUMMYFUNCTION("""COMPUTED_VALUE"""),"с МОТП, РАСШИРЕННЫЙ")</f>
        <v>с МОТП, РАСШИРЕННЫЙ</v>
      </c>
      <c r="C114" s="4" t="str">
        <f ca="1">IFERROR(__xludf.DUMMYFUNCTION("""COMPUTED_VALUE"""),"SSY1-RTL15BT-1CKA24")</f>
        <v>SSY1-RTL15BT-1CKA24</v>
      </c>
      <c r="D114" s="4" t="str">
        <f ca="1">IFERROR(__xludf.DUMMYFUNCTION("""COMPUTED_VALUE"""),"Продление подписки на обновления Mobile SMARTS: Магазин 15 с МОТП, РАСШИРЕННЫЙ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"&amp;"ОНЛАЙН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про"&amp;"верка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Продление подписки на обновления Mobile SMARTS: Магазин 15 с МОТП, РАСШИРЕННЫЙ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4" s="4" t="str">
        <f ca="1">IFERROR(__xludf.DUMMYFUNCTION("""COMPUTED_VALUE"""),"Продление подписки на обновления Mobile SMARTS: Магазин 15 с МОТП, РАСШИРЕННЫЙ для «1С: Комплексная автоматизация 2.4.11»,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Комплексная автоматизация 2.4.11», для работы с маркированным товаром: ТАБАК и товары по штрихкодам  на 1 (один) год</v>
      </c>
      <c r="F114" s="5">
        <f ca="1">IFERROR(__xludf.DUMMYFUNCTION("""COMPUTED_VALUE"""),3490)</f>
        <v>3490</v>
      </c>
    </row>
    <row r="115" spans="1:6" ht="72" customHeight="1" x14ac:dyDescent="0.2">
      <c r="A115" s="4" t="str">
        <f ca="1">IFERROR(__xludf.DUMMYFUNCTION("""COMPUTED_VALUE"""),"«1С: Комплексная автоматизация 2.4.11»")</f>
        <v>«1С: Комплексная автоматизация 2.4.11»</v>
      </c>
      <c r="B115" s="4" t="str">
        <f ca="1">IFERROR(__xludf.DUMMYFUNCTION("""COMPUTED_VALUE"""),"с МОТП, МЕГАМАРКЕТ")</f>
        <v>с МОТП, МЕГАМАРКЕТ</v>
      </c>
      <c r="C115" s="4" t="str">
        <f ca="1">IFERROR(__xludf.DUMMYFUNCTION("""COMPUTED_VALUE"""),"SSY1-RTL15CT-1CKA24")</f>
        <v>SSY1-RTL15CT-1CKA24</v>
      </c>
      <c r="D115" s="4" t="str">
        <f ca="1">IFERROR(__xludf.DUMMYFUNCTION("""COMPUTED_VALUE"""),"Продление подписки на обновления Mobile SMARTS: Магазин 15 с МОТП, МЕГАМАРКЕТ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О"&amp;"НЛАЙН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пров"&amp;"ерка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на"&amp;" обновления и обмен через Интернет на 1 (один) год")</f>
        <v>Продление подписки на обновления Mobile SMARTS: Магазин 15 с МОТП, МЕГАМАРКЕТ для «1С: Комплексная автоматизация 2.4.11»,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5" s="4" t="str">
        <f ca="1">IFERROR(__xludf.DUMMYFUNCTION("""COMPUTED_VALUE"""),"Продление подписки на обновления Mobile SMARTS: Магазин 15 с МОТП, МЕГАМАРКЕТ для «1С: Комплексная автоматизация 2.4.11»,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Комплексная автоматизация 2.4.11», для работы с маркированным товаром: ТАБАК и товары по штрихкодам  на 1 (один) год</v>
      </c>
      <c r="F115" s="5">
        <f ca="1">IFERROR(__xludf.DUMMYFUNCTION("""COMPUTED_VALUE"""),4770)</f>
        <v>4770</v>
      </c>
    </row>
    <row r="116" spans="1:6" ht="72" customHeight="1" x14ac:dyDescent="0.2">
      <c r="A116" s="4" t="str">
        <f ca="1">IFERROR(__xludf.DUMMYFUNCTION("""COMPUTED_VALUE"""),"«1С: Комплексная автоматизация 2.4.11»")</f>
        <v>«1С: Комплексная автоматизация 2.4.11»</v>
      </c>
      <c r="B116" s="4" t="str">
        <f ca="1">IFERROR(__xludf.DUMMYFUNCTION("""COMPUTED_VALUE"""),"с ЕГАИС и МОТП, БАЗОВЫЙ")</f>
        <v>с ЕГАИС и МОТП, БАЗОВЫЙ</v>
      </c>
      <c r="C116" s="4" t="str">
        <f ca="1">IFERROR(__xludf.DUMMYFUNCTION("""COMPUTED_VALUE"""),"SSY1-RTL15AET-1CKA24")</f>
        <v>SSY1-RTL15AET-1CKA24</v>
      </c>
      <c r="D116" s="4" t="str">
        <f ca="1">IFERROR(__xludf.DUMMYFUNCTION("""COMPUTED_VALUE"""),"Продление подписки на обновления 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Ин"&amp;"тернет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"&amp;"отгрузка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6" s="4" t="str">
        <f ca="1">IFERROR(__xludf.DUMMYFUNCTION("""COMPUTED_VALUE"""),"Продление подписки на обновления 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Комплексная автоматизация 2.4.11», для работы с маркированным товаром: АЛКОГОЛЬ, ТАБАК и товары по штрихкодам  на 1 (один) год</v>
      </c>
      <c r="F116" s="5">
        <f ca="1">IFERROR(__xludf.DUMMYFUNCTION("""COMPUTED_VALUE"""),2430)</f>
        <v>2430</v>
      </c>
    </row>
    <row r="117" spans="1:6" ht="72" customHeight="1" x14ac:dyDescent="0.2">
      <c r="A117" s="4" t="str">
        <f ca="1">IFERROR(__xludf.DUMMYFUNCTION("""COMPUTED_VALUE"""),"«1С: Комплексная автоматизация 2.4.11»")</f>
        <v>«1С: Комплексная автоматизация 2.4.11»</v>
      </c>
      <c r="B117" s="4" t="str">
        <f ca="1">IFERROR(__xludf.DUMMYFUNCTION("""COMPUTED_VALUE"""),"с ЕГАИС и МОТП, РАСШИРЕННЫЙ")</f>
        <v>с ЕГАИС и МОТП, РАСШИРЕННЫЙ</v>
      </c>
      <c r="C117" s="4" t="str">
        <f ca="1">IFERROR(__xludf.DUMMYFUNCTION("""COMPUTED_VALUE"""),"SSY1-RTL15BET-1CKA24")</f>
        <v>SSY1-RTL15BET-1CKA24</v>
      </c>
      <c r="D117" s="4" t="str">
        <f ca="1">IFERROR(__xludf.DUMMYFUNCTION("""COMPUTED_VALUE"""),"Продление подписки на обновления 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чере"&amp;"з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т"&amp;".ч.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7" s="4" t="str">
        <f ca="1">IFERROR(__xludf.DUMMYFUNCTION("""COMPUTED_VALUE"""),"Продление подписки на обновления 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Комплексная автоматизация 2.4.11», для работы с маркированным товаром: АЛКОГОЛЬ, ТАБАК и товары по штрихкодам  на 1 (один) год</v>
      </c>
      <c r="F117" s="5">
        <f ca="1">IFERROR(__xludf.DUMMYFUNCTION("""COMPUTED_VALUE"""),3710)</f>
        <v>3710</v>
      </c>
    </row>
    <row r="118" spans="1:6" ht="72" customHeight="1" x14ac:dyDescent="0.2">
      <c r="A118" s="4" t="str">
        <f ca="1">IFERROR(__xludf.DUMMYFUNCTION("""COMPUTED_VALUE"""),"«1С: Комплексная автоматизация 2.4.11»")</f>
        <v>«1С: Комплексная автоматизация 2.4.11»</v>
      </c>
      <c r="B118" s="4" t="str">
        <f ca="1">IFERROR(__xludf.DUMMYFUNCTION("""COMPUTED_VALUE"""),"с ЕГАИС и МОТП, МЕГАМАРКЕТ")</f>
        <v>с ЕГАИС и МОТП, МЕГАМАРКЕТ</v>
      </c>
      <c r="C118" s="4" t="str">
        <f ca="1">IFERROR(__xludf.DUMMYFUNCTION("""COMPUTED_VALUE"""),"SSY1-RTL15CET-1CKA24")</f>
        <v>SSY1-RTL15CET-1CKA24</v>
      </c>
      <c r="D118" s="4" t="str">
        <f ca="1">IFERROR(__xludf.DUMMYFUNCTION("""COMPUTED_VALUE"""),"Продление подписки на обновления 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через"&amp;"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т."&amp;"ч.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8" s="4" t="str">
        <f ca="1">IFERROR(__xludf.DUMMYFUNCTION("""COMPUTED_VALUE"""),"Продление подписки на обновления 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Комплексная автоматизация 2.4.11», для работы с маркированным товаром: АЛКОГОЛЬ, ТАБАК и товары по штрихкодам  на 1 (один) год</v>
      </c>
      <c r="F118" s="5">
        <f ca="1">IFERROR(__xludf.DUMMYFUNCTION("""COMPUTED_VALUE"""),5270)</f>
        <v>5270</v>
      </c>
    </row>
    <row r="119" spans="1:6" ht="72" customHeight="1" x14ac:dyDescent="0.2">
      <c r="A119" s="4" t="str">
        <f ca="1">IFERROR(__xludf.DUMMYFUNCTION("""COMPUTED_VALUE"""),"«1С: Комплексная автоматизация 2.4.11»")</f>
        <v>«1С: Комплексная автоматизация 2.4.11»</v>
      </c>
      <c r="B119" s="4" t="str">
        <f ca="1">IFERROR(__xludf.DUMMYFUNCTION("""COMPUTED_VALUE"""),"ШМОТКИ, БАЗОВЫЙ")</f>
        <v>ШМОТКИ, БАЗОВЫЙ</v>
      </c>
      <c r="C119" s="4" t="str">
        <f ca="1">IFERROR(__xludf.DUMMYFUNCTION("""COMPUTED_VALUE"""),"SSY1-RTL15AK-1CKA24")</f>
        <v>SSY1-RTL15AK-1CKA24</v>
      </c>
      <c r="D119" s="4" t="str">
        <f ca="1">IFERROR(__xludf.DUMMYFUNCTION("""COMPUTED_VALUE"""),"Продление подписки на обновления 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чере"&amp;"з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справочник"&amp;"ов,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и обмен через Интернет на 1 (один) год")</f>
        <v>Продление подписки на обновления 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19" s="4" t="str">
        <f ca="1">IFERROR(__xludf.DUMMYFUNCTION("""COMPUTED_VALUE"""),"Продление подписки на обновления 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Комплексная автоматизация 2.4.11», для работы с маркированным товаром: ОБУВЬ, ОДЕЖДА, ПАРФЮМ, ШИНЫ и товары по штрихкодам  на 1 (один) год</v>
      </c>
      <c r="F119" s="5">
        <f ca="1">IFERROR(__xludf.DUMMYFUNCTION("""COMPUTED_VALUE"""),2430)</f>
        <v>2430</v>
      </c>
    </row>
    <row r="120" spans="1:6" ht="72" customHeight="1" x14ac:dyDescent="0.2">
      <c r="A120" s="4" t="str">
        <f ca="1">IFERROR(__xludf.DUMMYFUNCTION("""COMPUTED_VALUE"""),"«1С: Комплексная автоматизация 2.4.11»")</f>
        <v>«1С: Комплексная автоматизация 2.4.11»</v>
      </c>
      <c r="B120" s="4" t="str">
        <f ca="1">IFERROR(__xludf.DUMMYFUNCTION("""COMPUTED_VALUE"""),"ШМОТКИ, РАСШИРЕННЫЙ")</f>
        <v>ШМОТКИ, РАСШИРЕННЫЙ</v>
      </c>
      <c r="C120" s="4" t="str">
        <f ca="1">IFERROR(__xludf.DUMMYFUNCTION("""COMPUTED_VALUE"""),"SSY1-RTL15BK-1CKA24")</f>
        <v>SSY1-RTL15BK-1CKA24</v>
      </c>
      <c r="D120" s="4" t="str">
        <f ca="1">IFERROR(__xludf.DUMMYFUNCTION("""COMPUTED_VALUE"""),"Продление подписки на обновления 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"&amp;"через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справо"&amp;"чников,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"&amp;"на обновления и обмен через Интернет на 1 (один) год")</f>
        <v>Продление подписки на обновления 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0" s="4" t="str">
        <f ca="1">IFERROR(__xludf.DUMMYFUNCTION("""COMPUTED_VALUE"""),"Продление подписки на обновления 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«1С: Комплексная автоматизация 2.4.11», для работы с маркированным товаром: ОБУВЬ, ОДЕЖДА, ПАРФЮМ, ШИНЫ и товары по штрихкодам  на 1 (один) год</v>
      </c>
      <c r="F120" s="5">
        <f ca="1">IFERROR(__xludf.DUMMYFUNCTION("""COMPUTED_VALUE"""),3710)</f>
        <v>3710</v>
      </c>
    </row>
    <row r="121" spans="1:6" ht="72" customHeight="1" x14ac:dyDescent="0.2">
      <c r="A121" s="4" t="str">
        <f ca="1">IFERROR(__xludf.DUMMYFUNCTION("""COMPUTED_VALUE"""),"«1С: Комплексная автоматизация 2.4.11»")</f>
        <v>«1С: Комплексная автоматизация 2.4.11»</v>
      </c>
      <c r="B121" s="4" t="str">
        <f ca="1">IFERROR(__xludf.DUMMYFUNCTION("""COMPUTED_VALUE"""),"ШМОТКИ, МЕГАМАРКЕТ")</f>
        <v>ШМОТКИ, МЕГАМАРКЕТ</v>
      </c>
      <c r="C121" s="4" t="str">
        <f ca="1">IFERROR(__xludf.DUMMYFUNCTION("""COMPUTED_VALUE"""),"SSY1-RTL15CK-1CKA24")</f>
        <v>SSY1-RTL15CK-1CKA24</v>
      </c>
      <c r="D121" s="4" t="str">
        <f ca="1">IFERROR(__xludf.DUMMYFUNCTION("""COMPUTED_VALUE"""),"Продление подписки на обновления 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ч"&amp;"ерез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справоч"&amp;"ников,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у"&amp;"стройство, подписка на обновления и обмен через Интернет на 1 (один) год")</f>
        <v>Продление подписки на обновления 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1" s="4" t="str">
        <f ca="1">IFERROR(__xludf.DUMMYFUNCTION("""COMPUTED_VALUE"""),"Продление подписки на обновления 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«1С: Комплексная автоматизация 2.4.11», для работы с маркированным товаром: ОБУВЬ, ОДЕЖДА, ПАРФЮМ, ШИНЫ и товары по штрихкодам  на 1 (один) год</v>
      </c>
      <c r="F121" s="5">
        <f ca="1">IFERROR(__xludf.DUMMYFUNCTION("""COMPUTED_VALUE"""),5270)</f>
        <v>5270</v>
      </c>
    </row>
    <row r="122" spans="1:6" ht="72" customHeight="1" x14ac:dyDescent="0.2">
      <c r="A122" s="4" t="str">
        <f ca="1">IFERROR(__xludf.DUMMYFUNCTION("""COMPUTED_VALUE"""),"«1С: Комплексная автоматизация 2.4.11»")</f>
        <v>«1С: Комплексная автоматизация 2.4.11»</v>
      </c>
      <c r="B122" s="4" t="str">
        <f ca="1">IFERROR(__xludf.DUMMYFUNCTION("""COMPUTED_VALUE"""),"ПРОДУКТОВЫЙ, БАЗОВЫЙ")</f>
        <v>ПРОДУКТОВЫЙ, БАЗОВЫЙ</v>
      </c>
      <c r="C122" s="4" t="str">
        <f ca="1">IFERROR(__xludf.DUMMYFUNCTION("""COMPUTED_VALUE"""),"SSY1-RTL15AG-1CKA24")</f>
        <v>SSY1-RTL15AG-1CKA24</v>
      </c>
      <c r="D122" s="4" t="str">
        <f ca="1">IFERROR(__xludf.DUMMYFUNCTION("""COMPUTED_VALUE"""),"Продление подписки на обновления 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выб"&amp;"ор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2" s="4" t="str">
        <f ca="1">IFERROR(__xludf.DUMMYFUNCTION("""COMPUTED_VALUE"""),"Продление подписки на обновления 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 на 1 (о"&amp;"дин) год")</f>
        <v>Продление подписки на обновления Mobile SMARTS: Магазин 15 ПРОДУКТОВЫЙ, БАЗОВЫЙ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 на 1 (один) год</v>
      </c>
      <c r="F122" s="5">
        <f ca="1">IFERROR(__xludf.DUMMYFUNCTION("""COMPUTED_VALUE"""),2910)</f>
        <v>2910</v>
      </c>
    </row>
    <row r="123" spans="1:6" ht="72" customHeight="1" x14ac:dyDescent="0.2">
      <c r="A123" s="4" t="str">
        <f ca="1">IFERROR(__xludf.DUMMYFUNCTION("""COMPUTED_VALUE"""),"«1С: Комплексная автоматизация 2.4.11»")</f>
        <v>«1С: Комплексная автоматизация 2.4.11»</v>
      </c>
      <c r="B123" s="4" t="str">
        <f ca="1">IFERROR(__xludf.DUMMYFUNCTION("""COMPUTED_VALUE"""),"ПРОДУКТОВЫЙ, РАСШИРЕННЫЙ")</f>
        <v>ПРОДУКТОВЫЙ, РАСШИРЕННЫЙ</v>
      </c>
      <c r="C123" s="4" t="str">
        <f ca="1">IFERROR(__xludf.DUMMYFUNCTION("""COMPUTED_VALUE"""),"SSY1-RTL15BG-1CKA24")</f>
        <v>SSY1-RTL15BG-1CKA24</v>
      </c>
      <c r="D123" s="4" t="str">
        <f ca="1">IFERROR(__xludf.DUMMYFUNCTION("""COMPUTED_VALUE"""),"Продление подписки на обновления 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на"&amp;"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пр"&amp;"интер),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"&amp;"складах,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3" s="4" t="str">
        <f ca="1">IFERROR(__xludf.DUMMYFUNCTION("""COMPUTED_VALUE"""),"Продление подписки на обновления 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 на "&amp;"1 (один) год")</f>
        <v>Продление подписки на обновления Mobile SMARTS: Магазин 15 ПРОДУКТОВЫЙ, РАСШИРЕННЫЙ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 на 1 (один) год</v>
      </c>
      <c r="F123" s="5">
        <f ca="1">IFERROR(__xludf.DUMMYFUNCTION("""COMPUTED_VALUE"""),4190)</f>
        <v>4190</v>
      </c>
    </row>
    <row r="124" spans="1:6" ht="72" customHeight="1" x14ac:dyDescent="0.2">
      <c r="A124" s="4" t="str">
        <f ca="1">IFERROR(__xludf.DUMMYFUNCTION("""COMPUTED_VALUE"""),"«1С: Комплексная автоматизация 2.4.11»")</f>
        <v>«1С: Комплексная автоматизация 2.4.11»</v>
      </c>
      <c r="B124" s="4" t="str">
        <f ca="1">IFERROR(__xludf.DUMMYFUNCTION("""COMPUTED_VALUE"""),"ПРОДУКТОВЫЙ, МЕГАМАРКЕТ")</f>
        <v>ПРОДУКТОВЫЙ, МЕГАМАРКЕТ</v>
      </c>
      <c r="C124" s="4" t="str">
        <f ca="1">IFERROR(__xludf.DUMMYFUNCTION("""COMPUTED_VALUE"""),"SSY1-RTL15CG-1CKA24")</f>
        <v>SSY1-RTL15CG-1CKA24</v>
      </c>
      <c r="D124" s="4" t="str">
        <f ca="1">IFERROR(__xludf.DUMMYFUNCTION("""COMPUTED_VALUE"""),"Продление подписки на обновления 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"&amp;"выбор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при"&amp;"нтер),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и"&amp;"нформация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4" s="4" t="str">
        <f ca="1">IFERROR(__xludf.DUMMYFUNCTION("""COMPUTED_VALUE"""),"Продление подписки на обновления 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 на 1"&amp;" (один) год")</f>
        <v>Продление подписки на обновления Mobile SMARTS: Магазин 15 ПРОДУКТОВЫЙ, МЕГАМАРКЕТ для «1С: Комплексная автоматизация 2.4.11», для работы с маркированным товаром: АЛКОГОЛЬ, ПИВО, ТАБАК, МОЛОКО, ВОДА, ОДЕЖДА, ОБУВЬ, ДУХИ, ШИНЫ и товаром по штрихкодам  на 1 (один) год</v>
      </c>
      <c r="F124" s="5">
        <f ca="1">IFERROR(__xludf.DUMMYFUNCTION("""COMPUTED_VALUE"""),5650)</f>
        <v>5650</v>
      </c>
    </row>
    <row r="125" spans="1:6" ht="72" customHeight="1" x14ac:dyDescent="0.2">
      <c r="A125" s="4" t="str">
        <f ca="1">IFERROR(__xludf.DUMMYFUNCTION("""COMPUTED_VALUE"""),"«1С: Комплексная автоматизация 2.5»")</f>
        <v>«1С: Комплексная автоматизация 2.5»</v>
      </c>
      <c r="B125" s="4" t="str">
        <f ca="1">IFERROR(__xludf.DUMMYFUNCTION("""COMPUTED_VALUE"""),"МИНИМУМ")</f>
        <v>МИНИМУМ</v>
      </c>
      <c r="C125" s="4" t="str">
        <f ca="1">IFERROR(__xludf.DUMMYFUNCTION("""COMPUTED_VALUE"""),"SSY1-RTL15M-1CKA25")</f>
        <v>SSY1-RTL15M-1CKA25</v>
      </c>
      <c r="D125" s="4" t="str">
        <f ca="1">IFERROR(__xludf.DUMMYFUNCTION("""COMPUTED_VALUE"""),"Продление подписки на обновления Mobile SMARTS: Магазин 15, МИНИМУМ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сбор штрихкодов"&amp;",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обновлени"&amp;"я и обмен через Интернет на 1 (один) год")</f>
        <v>Продление подписки на обновления Mobile SMARTS: Магазин 15, МИНИМУМ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25" s="4" t="str">
        <f ca="1">IFERROR(__xludf.DUMMYFUNCTION("""COMPUTED_VALUE"""),"Продление подписки на обновления Mobile SMARTS: Магазин 15, МИНИМУМ для «1С: Комплексная автоматизация 2.5», для работы с товаром по штрихкодам  на 1 (один) год")</f>
        <v>Продление подписки на обновления Mobile SMARTS: Магазин 15, МИНИМУМ для «1С: Комплексная автоматизация 2.5», для работы с товаром по штрихкодам  на 1 (один) год</v>
      </c>
      <c r="F125" s="5">
        <f ca="1">IFERROR(__xludf.DUMMYFUNCTION("""COMPUTED_VALUE"""),690)</f>
        <v>690</v>
      </c>
    </row>
    <row r="126" spans="1:6" ht="72" customHeight="1" x14ac:dyDescent="0.2">
      <c r="A126" s="4" t="str">
        <f ca="1">IFERROR(__xludf.DUMMYFUNCTION("""COMPUTED_VALUE"""),"«1С: Комплексная автоматизация 2.5»")</f>
        <v>«1С: Комплексная автоматизация 2.5»</v>
      </c>
      <c r="B126" s="4" t="str">
        <f ca="1">IFERROR(__xludf.DUMMYFUNCTION("""COMPUTED_VALUE"""),"БАЗОВЫЙ")</f>
        <v>БАЗОВЫЙ</v>
      </c>
      <c r="C126" s="4" t="str">
        <f ca="1">IFERROR(__xludf.DUMMYFUNCTION("""COMPUTED_VALUE"""),"SSY1-RTL15A-1CKA25")</f>
        <v>SSY1-RTL15A-1CKA25</v>
      </c>
      <c r="D126" s="4" t="str">
        <f ca="1">IFERROR(__xludf.DUMMYFUNCTION("""COMPUTED_VALUE"""),"Продление подписки на обновления Mobile SMARTS: Магазин 15, БАЗОВЫЙ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Комплексная автоматизация 2.5»,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6" s="4" t="str">
        <f ca="1">IFERROR(__xludf.DUMMYFUNCTION("""COMPUTED_VALUE"""),"Продление подписки на обновления Mobile SMARTS: Магазин 15, БАЗОВЫЙ для «1С: Комплексная автоматизация 2.5», для работы с товаром по штрихкодам  на 1 (один) год")</f>
        <v>Продление подписки на обновления Mobile SMARTS: Магазин 15, БАЗОВЫЙ для «1С: Комплексная автоматизация 2.5», для работы с товаром по штрихкодам  на 1 (один) год</v>
      </c>
      <c r="F126" s="5">
        <f ca="1">IFERROR(__xludf.DUMMYFUNCTION("""COMPUTED_VALUE"""),1730)</f>
        <v>1730</v>
      </c>
    </row>
    <row r="127" spans="1:6" ht="72" customHeight="1" x14ac:dyDescent="0.2">
      <c r="A127" s="4" t="str">
        <f ca="1">IFERROR(__xludf.DUMMYFUNCTION("""COMPUTED_VALUE"""),"«1С: Комплексная автоматизация 2.5»")</f>
        <v>«1С: Комплексная автоматизация 2.5»</v>
      </c>
      <c r="B127" s="4" t="str">
        <f ca="1">IFERROR(__xludf.DUMMYFUNCTION("""COMPUTED_VALUE"""),"РАСШИРЕННЫЙ")</f>
        <v>РАСШИРЕННЫЙ</v>
      </c>
      <c r="C127" s="4" t="str">
        <f ca="1">IFERROR(__xludf.DUMMYFUNCTION("""COMPUTED_VALUE"""),"SSY1-RTL15B-1CKA25")</f>
        <v>SSY1-RTL15B-1CKA25</v>
      </c>
      <c r="D127" s="4" t="str">
        <f ca="1">IFERROR(__xludf.DUMMYFUNCTION("""COMPUTED_VALUE"""),"Продление подписки на обновления Mobile SMARTS: Магазин 15, РАСШИРЕННЫЙ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поступление"&amp;",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7" s="4" t="str">
        <f ca="1">IFERROR(__xludf.DUMMYFUNCTION("""COMPUTED_VALUE"""),"Продление подписки на обновления Mobile SMARTS: Магазин 15, РАСШИРЕННЫЙ для «1С: Комплексная автоматизация 2.5», для работы с товаром по штрихкодам  на 1 (один) год")</f>
        <v>Продление подписки на обновления Mobile SMARTS: Магазин 15, РАСШИРЕННЫЙ для «1С: Комплексная автоматизация 2.5», для работы с товаром по штрихкодам  на 1 (один) год</v>
      </c>
      <c r="F127" s="5">
        <f ca="1">IFERROR(__xludf.DUMMYFUNCTION("""COMPUTED_VALUE"""),3010)</f>
        <v>3010</v>
      </c>
    </row>
    <row r="128" spans="1:6" ht="72" customHeight="1" x14ac:dyDescent="0.2">
      <c r="A128" s="4" t="str">
        <f ca="1">IFERROR(__xludf.DUMMYFUNCTION("""COMPUTED_VALUE"""),"«1С: Комплексная автоматизация 2.5»")</f>
        <v>«1С: Комплексная автоматизация 2.5»</v>
      </c>
      <c r="B128" s="4" t="str">
        <f ca="1">IFERROR(__xludf.DUMMYFUNCTION("""COMPUTED_VALUE"""),"МЕГАМАРКЕТ")</f>
        <v>МЕГАМАРКЕТ</v>
      </c>
      <c r="C128" s="4" t="str">
        <f ca="1">IFERROR(__xludf.DUMMYFUNCTION("""COMPUTED_VALUE"""),"SSY1-RTL15C-1CKA25")</f>
        <v>SSY1-RTL15C-1CKA25</v>
      </c>
      <c r="D128" s="4" t="str">
        <f ca="1">IFERROR(__xludf.DUMMYFUNCTION("""COMPUTED_VALUE"""),"Продление подписки на обновления Mobile SMARTS: Магазин 15, МЕГАМАРКЕТ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Комплексная автоматизация 2.5»,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28" s="4" t="str">
        <f ca="1">IFERROR(__xludf.DUMMYFUNCTION("""COMPUTED_VALUE"""),"Продление подписки на обновления Mobile SMARTS: Магазин 15, МЕГАМАРКЕТ для «1С: Комплексная автоматизация 2.5», для работы с товаром по штрихкодам  на 1 (один) год")</f>
        <v>Продление подписки на обновления Mobile SMARTS: Магазин 15, МЕГАМАРКЕТ для «1С: Комплексная автоматизация 2.5», для работы с товаром по штрихкодам  на 1 (один) год</v>
      </c>
      <c r="F128" s="5">
        <f ca="1">IFERROR(__xludf.DUMMYFUNCTION("""COMPUTED_VALUE"""),4310)</f>
        <v>4310</v>
      </c>
    </row>
    <row r="129" spans="1:6" ht="72" customHeight="1" x14ac:dyDescent="0.2">
      <c r="A129" s="4" t="str">
        <f ca="1">IFERROR(__xludf.DUMMYFUNCTION("""COMPUTED_VALUE"""),"«1С: Комплексная автоматизация 2.5»")</f>
        <v>«1С: Комплексная автоматизация 2.5»</v>
      </c>
      <c r="B129" s="4" t="str">
        <f ca="1">IFERROR(__xludf.DUMMYFUNCTION("""COMPUTED_VALUE"""),"с ЕГАИС, БАЗОВЫЙ")</f>
        <v>с ЕГАИС, БАЗОВЫЙ</v>
      </c>
      <c r="C129" s="4" t="str">
        <f ca="1">IFERROR(__xludf.DUMMYFUNCTION("""COMPUTED_VALUE"""),"SSY1-RTL15AE-1CKA25")</f>
        <v>SSY1-RTL15AE-1CKA25</v>
      </c>
      <c r="D129" s="4" t="str">
        <f ca="1">IFERROR(__xludf.DUMMYFUNCTION("""COMPUTED_VALUE"""),"Продление подписки на обновления Mobile SMARTS: Магазин 15 с ЕГАИС, БАЗОВЫЙ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не"&amp;"т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ЕГАИС, БАЗОВЫЙ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29" s="4" t="str">
        <f ca="1">IFERROR(__xludf.DUMMYFUNCTION("""COMPUTED_VALUE"""),"Продление подписки на обновления Mobile SMARTS: Магазин 15 с ЕГАИС, БАЗОВЫЙ для «1С: Комплексная автоматизация 2.5»,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Комплексная автоматизация 2.5», для работы с маркированным товаром: алкоголь ЕГАИС и товары по штрихкодам  на 1 (один) год</v>
      </c>
      <c r="F129" s="5">
        <f ca="1">IFERROR(__xludf.DUMMYFUNCTION("""COMPUTED_VALUE"""),2200)</f>
        <v>2200</v>
      </c>
    </row>
    <row r="130" spans="1:6" ht="72" customHeight="1" x14ac:dyDescent="0.2">
      <c r="A130" s="4" t="str">
        <f ca="1">IFERROR(__xludf.DUMMYFUNCTION("""COMPUTED_VALUE"""),"«1С: Комплексная автоматизация 2.5»")</f>
        <v>«1С: Комплексная автоматизация 2.5»</v>
      </c>
      <c r="B130" s="4" t="str">
        <f ca="1">IFERROR(__xludf.DUMMYFUNCTION("""COMPUTED_VALUE"""),"с ЕГАИС, РАСШИРЕННЫЙ")</f>
        <v>с ЕГАИС, РАСШИРЕННЫЙ</v>
      </c>
      <c r="C130" s="4" t="str">
        <f ca="1">IFERROR(__xludf.DUMMYFUNCTION("""COMPUTED_VALUE"""),"SSY1-RTL15BE-1CKA25")</f>
        <v>SSY1-RTL15BE-1CKA25</v>
      </c>
      <c r="D130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 с ЕГАИС, РАСШИРЕННЫЙ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0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2.5»,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Комплексная автоматизация 2.5», для работы с маркированным товаром: алкоголь ЕГАИС и товары по штрихкодам  на 1 (один) год</v>
      </c>
      <c r="F130" s="5">
        <f ca="1">IFERROR(__xludf.DUMMYFUNCTION("""COMPUTED_VALUE"""),3490)</f>
        <v>3490</v>
      </c>
    </row>
    <row r="131" spans="1:6" ht="72" customHeight="1" x14ac:dyDescent="0.2">
      <c r="A131" s="4" t="str">
        <f ca="1">IFERROR(__xludf.DUMMYFUNCTION("""COMPUTED_VALUE"""),"«1С: Комплексная автоматизация 2.5»")</f>
        <v>«1С: Комплексная автоматизация 2.5»</v>
      </c>
      <c r="B131" s="4" t="str">
        <f ca="1">IFERROR(__xludf.DUMMYFUNCTION("""COMPUTED_VALUE"""),"с ЕГАИС (без CheckMark2), МЕГАМАРКЕТ")</f>
        <v>с ЕГАИС (без CheckMark2), МЕГАМАРКЕТ</v>
      </c>
      <c r="C131" s="4" t="str">
        <f ca="1">IFERROR(__xludf.DUMMYFUNCTION("""COMPUTED_VALUE"""),"SSY1-RTL15CEV-1CKA25")</f>
        <v>SSY1-RTL15CEV-1CKA25</v>
      </c>
      <c r="D131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обмен"&amp;"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QR-код"&amp;"ов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1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Комплексная автоматизация 2.5», для работы с маркированным товаром: алкоголь ЕГАИС и товары по штрихкодам  на 1 (один) год</v>
      </c>
      <c r="F131" s="5">
        <f ca="1">IFERROR(__xludf.DUMMYFUNCTION("""COMPUTED_VALUE"""),4770)</f>
        <v>4770</v>
      </c>
    </row>
    <row r="132" spans="1:6" ht="72" customHeight="1" x14ac:dyDescent="0.2">
      <c r="A132" s="4" t="str">
        <f ca="1">IFERROR(__xludf.DUMMYFUNCTION("""COMPUTED_VALUE"""),"«1С: Комплексная автоматизация 2.5»")</f>
        <v>«1С: Комплексная автоматизация 2.5»</v>
      </c>
      <c r="B132" s="4" t="str">
        <f ca="1">IFERROR(__xludf.DUMMYFUNCTION("""COMPUTED_VALUE"""),"с МОТП, БАЗОВЫЙ")</f>
        <v>с МОТП, БАЗОВЫЙ</v>
      </c>
      <c r="C132" s="4" t="str">
        <f ca="1">IFERROR(__xludf.DUMMYFUNCTION("""COMPUTED_VALUE"""),"SSY1-RTL15AT-1CKA25")</f>
        <v>SSY1-RTL15AT-1CKA25</v>
      </c>
      <c r="D132" s="4" t="str">
        <f ca="1">IFERROR(__xludf.DUMMYFUNCTION("""COMPUTED_VALUE"""),"Продление подписки на обновления Mobile SMARTS: Магазин 15 с МОТП, БАЗОВЫЙ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нет онлайна "&amp;"/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 с МОТП, БАЗОВЫЙ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2" s="4" t="str">
        <f ca="1">IFERROR(__xludf.DUMMYFUNCTION("""COMPUTED_VALUE"""),"Продление подписки на обновления Mobile SMARTS: Магазин 15 с МОТП, БАЗОВЫЙ для «1С: Комплексная автоматизация 2.5»,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Комплексная автоматизация 2.5», для работы с маркированным товаром: ТАБАК и товары по штрихкодам  на 1 (один) год</v>
      </c>
      <c r="F132" s="5">
        <f ca="1">IFERROR(__xludf.DUMMYFUNCTION("""COMPUTED_VALUE"""),2230)</f>
        <v>2230</v>
      </c>
    </row>
    <row r="133" spans="1:6" ht="72" customHeight="1" x14ac:dyDescent="0.2">
      <c r="A133" s="4" t="str">
        <f ca="1">IFERROR(__xludf.DUMMYFUNCTION("""COMPUTED_VALUE"""),"«1С: Комплексная автоматизация 2.5»")</f>
        <v>«1С: Комплексная автоматизация 2.5»</v>
      </c>
      <c r="B133" s="4" t="str">
        <f ca="1">IFERROR(__xludf.DUMMYFUNCTION("""COMPUTED_VALUE"""),"с МОТП, РАСШИРЕННЫЙ")</f>
        <v>с МОТП, РАСШИРЕННЫЙ</v>
      </c>
      <c r="C133" s="4" t="str">
        <f ca="1">IFERROR(__xludf.DUMMYFUNCTION("""COMPUTED_VALUE"""),"SSY1-RTL15BT-1CKA25")</f>
        <v>SSY1-RTL15BT-1CKA25</v>
      </c>
      <c r="D133" s="4" t="str">
        <f ca="1">IFERROR(__xludf.DUMMYFUNCTION("""COMPUTED_VALUE"""),"Продление подписки на обновления Mobile SMARTS: Магазин 15 с МОТП, РАСШИРЕННЫЙ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ОНЛ"&amp;"АЙН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провер"&amp;"ка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Продление подписки на обновления Mobile SMARTS: Магазин 15 с МОТП, РАСШИРЕННЫЙ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3" s="4" t="str">
        <f ca="1">IFERROR(__xludf.DUMMYFUNCTION("""COMPUTED_VALUE"""),"Продление подписки на обновления Mobile SMARTS: Магазин 15 с МОТП, РАСШИРЕННЫЙ для «1С: Комплексная автоматизация 2.5»,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Комплексная автоматизация 2.5», для работы с маркированным товаром: ТАБАК и товары по штрихкодам  на 1 (один) год</v>
      </c>
      <c r="F133" s="5">
        <f ca="1">IFERROR(__xludf.DUMMYFUNCTION("""COMPUTED_VALUE"""),3490)</f>
        <v>3490</v>
      </c>
    </row>
    <row r="134" spans="1:6" ht="72" customHeight="1" x14ac:dyDescent="0.2">
      <c r="A134" s="4" t="str">
        <f ca="1">IFERROR(__xludf.DUMMYFUNCTION("""COMPUTED_VALUE"""),"«1С: Комплексная автоматизация 2.5»")</f>
        <v>«1С: Комплексная автоматизация 2.5»</v>
      </c>
      <c r="B134" s="4" t="str">
        <f ca="1">IFERROR(__xludf.DUMMYFUNCTION("""COMPUTED_VALUE"""),"с МОТП, МЕГАМАРКЕТ")</f>
        <v>с МОТП, МЕГАМАРКЕТ</v>
      </c>
      <c r="C134" s="4" t="str">
        <f ca="1">IFERROR(__xludf.DUMMYFUNCTION("""COMPUTED_VALUE"""),"SSY1-RTL15CT-1CKA25")</f>
        <v>SSY1-RTL15CT-1CKA25</v>
      </c>
      <c r="D134" s="4" t="str">
        <f ca="1">IFERROR(__xludf.DUMMYFUNCTION("""COMPUTED_VALUE"""),"Продление подписки на обновления Mobile SMARTS: Магазин 15 с МОТП, МЕГАМАРКЕТ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Продление подписки на обновления Mobile SMARTS: Магазин 15 с МОТП, МЕГАМАРКЕТ для «1С: Комплексная автоматизация 2.5»,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4" s="4" t="str">
        <f ca="1">IFERROR(__xludf.DUMMYFUNCTION("""COMPUTED_VALUE"""),"Продление подписки на обновления Mobile SMARTS: Магазин 15 с МОТП, МЕГАМАРКЕТ для «1С: Комплексная автоматизация 2.5»,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Комплексная автоматизация 2.5», для работы с маркированным товаром: ТАБАК и товары по штрихкодам  на 1 (один) год</v>
      </c>
      <c r="F134" s="5">
        <f ca="1">IFERROR(__xludf.DUMMYFUNCTION("""COMPUTED_VALUE"""),4770)</f>
        <v>4770</v>
      </c>
    </row>
    <row r="135" spans="1:6" ht="72" customHeight="1" x14ac:dyDescent="0.2">
      <c r="A135" s="4" t="str">
        <f ca="1">IFERROR(__xludf.DUMMYFUNCTION("""COMPUTED_VALUE"""),"«1С: Комплексная автоматизация 2.5»")</f>
        <v>«1С: Комплексная автоматизация 2.5»</v>
      </c>
      <c r="B135" s="4" t="str">
        <f ca="1">IFERROR(__xludf.DUMMYFUNCTION("""COMPUTED_VALUE"""),"с ЕГАИС и МОТП, БАЗОВЫЙ")</f>
        <v>с ЕГАИС и МОТП, БАЗОВЫЙ</v>
      </c>
      <c r="C135" s="4" t="str">
        <f ca="1">IFERROR(__xludf.DUMMYFUNCTION("""COMPUTED_VALUE"""),"SSY1-RTL15AET-1CKA25")</f>
        <v>SSY1-RTL15AET-1CKA25</v>
      </c>
      <c r="D135" s="4" t="str">
        <f ca="1">IFERROR(__xludf.DUMMYFUNCTION("""COMPUTED_VALUE"""),"Продление подписки на обновления 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Интер"&amp;"нет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отг"&amp;"рузка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"&amp;"изменение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5" s="4" t="str">
        <f ca="1">IFERROR(__xludf.DUMMYFUNCTION("""COMPUTED_VALUE"""),"Продление подписки на обновления 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Комплексная автоматизация 2.5», для работы с маркированным товаром: АЛКОГОЛЬ, ТАБАК и товары по штрихкодам  на 1 (один) год</v>
      </c>
      <c r="F135" s="5">
        <f ca="1">IFERROR(__xludf.DUMMYFUNCTION("""COMPUTED_VALUE"""),2430)</f>
        <v>2430</v>
      </c>
    </row>
    <row r="136" spans="1:6" ht="72" customHeight="1" x14ac:dyDescent="0.2">
      <c r="A136" s="4" t="str">
        <f ca="1">IFERROR(__xludf.DUMMYFUNCTION("""COMPUTED_VALUE"""),"«1С: Комплексная автоматизация 2.5»")</f>
        <v>«1С: Комплексная автоматизация 2.5»</v>
      </c>
      <c r="B136" s="4" t="str">
        <f ca="1">IFERROR(__xludf.DUMMYFUNCTION("""COMPUTED_VALUE"""),"с ЕГАИС и МОТП, РАСШИРЕННЫЙ")</f>
        <v>с ЕГАИС и МОТП, РАСШИРЕННЫЙ</v>
      </c>
      <c r="C136" s="4" t="str">
        <f ca="1">IFERROR(__xludf.DUMMYFUNCTION("""COMPUTED_VALUE"""),"SSY1-RTL15BET-1CKA25")</f>
        <v>SSY1-RTL15BET-1CKA25</v>
      </c>
      <c r="D136" s="4" t="str">
        <f ca="1">IFERROR(__xludf.DUMMYFUNCTION("""COMPUTED_VALUE"""),"Продление подписки на обновления 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И"&amp;"нтернет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т.ч."&amp;"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экран"&amp;"е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6" s="4" t="str">
        <f ca="1">IFERROR(__xludf.DUMMYFUNCTION("""COMPUTED_VALUE"""),"Продление подписки на обновления 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Комплексная автоматизация 2.5», для работы с маркированным товаром: АЛКОГОЛЬ, ТАБАК и товары по штрихкодам  на 1 (один) год</v>
      </c>
      <c r="F136" s="5">
        <f ca="1">IFERROR(__xludf.DUMMYFUNCTION("""COMPUTED_VALUE"""),3710)</f>
        <v>3710</v>
      </c>
    </row>
    <row r="137" spans="1:6" ht="72" customHeight="1" x14ac:dyDescent="0.2">
      <c r="A137" s="4" t="str">
        <f ca="1">IFERROR(__xludf.DUMMYFUNCTION("""COMPUTED_VALUE"""),"«1С: Комплексная автоматизация 2.5»")</f>
        <v>«1С: Комплексная автоматизация 2.5»</v>
      </c>
      <c r="B137" s="4" t="str">
        <f ca="1">IFERROR(__xludf.DUMMYFUNCTION("""COMPUTED_VALUE"""),"с ЕГАИС и МОТП, МЕГАМАРКЕТ")</f>
        <v>с ЕГАИС и МОТП, МЕГАМАРКЕТ</v>
      </c>
      <c r="C137" s="4" t="str">
        <f ca="1">IFERROR(__xludf.DUMMYFUNCTION("""COMPUTED_VALUE"""),"SSY1-RTL15CET-1CKA25")</f>
        <v>SSY1-RTL15CET-1CKA25</v>
      </c>
      <c r="D137" s="4" t="str">
        <f ca="1">IFERROR(__xludf.DUMMYFUNCTION("""COMPUTED_VALUE"""),"Продление подписки на обновления 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Ин"&amp;"тернет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"&amp;"отгрузка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остат"&amp;"ках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7" s="4" t="str">
        <f ca="1">IFERROR(__xludf.DUMMYFUNCTION("""COMPUTED_VALUE"""),"Продление подписки на обновления 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Комплексная автоматизация 2.5», для работы с маркированным товаром: АЛКОГОЛЬ, ТАБАК и товары по штрихкодам  на 1 (один) год</v>
      </c>
      <c r="F137" s="5">
        <f ca="1">IFERROR(__xludf.DUMMYFUNCTION("""COMPUTED_VALUE"""),5270)</f>
        <v>5270</v>
      </c>
    </row>
    <row r="138" spans="1:6" ht="72" customHeight="1" x14ac:dyDescent="0.2">
      <c r="A138" s="4" t="str">
        <f ca="1">IFERROR(__xludf.DUMMYFUNCTION("""COMPUTED_VALUE"""),"«1С: Комплексная автоматизация 2.5»")</f>
        <v>«1С: Комплексная автоматизация 2.5»</v>
      </c>
      <c r="B138" s="4" t="str">
        <f ca="1">IFERROR(__xludf.DUMMYFUNCTION("""COMPUTED_VALUE"""),"ШМОТКИ, БАЗОВЫЙ")</f>
        <v>ШМОТКИ, БАЗОВЫЙ</v>
      </c>
      <c r="C138" s="4" t="str">
        <f ca="1">IFERROR(__xludf.DUMMYFUNCTION("""COMPUTED_VALUE"""),"SSY1-RTL15AK-1CKA25")</f>
        <v>SSY1-RTL15AK-1CKA25</v>
      </c>
      <c r="D138" s="4" t="str">
        <f ca="1">IFERROR(__xludf.DUMMYFUNCTION("""COMPUTED_VALUE"""),"Продление подписки на обновления 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И"&amp;"нтернет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справочников,"&amp;"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Продление подписки на обновления 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8" s="4" t="str">
        <f ca="1">IFERROR(__xludf.DUMMYFUNCTION("""COMPUTED_VALUE"""),"Продление подписки на обновления 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Комплексная автоматизация 2.5», для работы с маркированным товаром: ОБУВЬ, ОДЕЖДА, ПАРФЮМ, ШИНЫ и товары по штрихкодам  на 1 (один) год</v>
      </c>
      <c r="F138" s="5">
        <f ca="1">IFERROR(__xludf.DUMMYFUNCTION("""COMPUTED_VALUE"""),2430)</f>
        <v>2430</v>
      </c>
    </row>
    <row r="139" spans="1:6" ht="72" customHeight="1" x14ac:dyDescent="0.2">
      <c r="A139" s="4" t="str">
        <f ca="1">IFERROR(__xludf.DUMMYFUNCTION("""COMPUTED_VALUE"""),"«1С: Комплексная автоматизация 2.5»")</f>
        <v>«1С: Комплексная автоматизация 2.5»</v>
      </c>
      <c r="B139" s="4" t="str">
        <f ca="1">IFERROR(__xludf.DUMMYFUNCTION("""COMPUTED_VALUE"""),"ШМОТКИ, РАСШИРЕННЫЙ")</f>
        <v>ШМОТКИ, РАСШИРЕННЫЙ</v>
      </c>
      <c r="C139" s="4" t="str">
        <f ca="1">IFERROR(__xludf.DUMMYFUNCTION("""COMPUTED_VALUE"""),"SSY1-RTL15BK-1CKA25")</f>
        <v>SSY1-RTL15BK-1CKA25</v>
      </c>
      <c r="D139" s="4" t="str">
        <f ca="1">IFERROR(__xludf.DUMMYFUNCTION("""COMPUTED_VALUE"""),"Продление подписки на обновления 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чер"&amp;"ез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справочни"&amp;"ков,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"&amp;"обновления и обмен через Интернет на 1 (один) год")</f>
        <v>Продление подписки на обновления 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39" s="4" t="str">
        <f ca="1">IFERROR(__xludf.DUMMYFUNCTION("""COMPUTED_VALUE"""),"Продление подписки на обновления 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«1С: Комплексная автоматизация 2.5», для работы с маркированным товаром: ОБУВЬ, ОДЕЖДА, ПАРФЮМ, ШИНЫ и товары по штрихкодам  на 1 (один) год</v>
      </c>
      <c r="F139" s="5">
        <f ca="1">IFERROR(__xludf.DUMMYFUNCTION("""COMPUTED_VALUE"""),3710)</f>
        <v>3710</v>
      </c>
    </row>
    <row r="140" spans="1:6" ht="72" customHeight="1" x14ac:dyDescent="0.2">
      <c r="A140" s="4" t="str">
        <f ca="1">IFERROR(__xludf.DUMMYFUNCTION("""COMPUTED_VALUE"""),"«1С: Комплексная автоматизация 2.5»")</f>
        <v>«1С: Комплексная автоматизация 2.5»</v>
      </c>
      <c r="B140" s="4" t="str">
        <f ca="1">IFERROR(__xludf.DUMMYFUNCTION("""COMPUTED_VALUE"""),"ШМОТКИ, МЕГАМАРКЕТ")</f>
        <v>ШМОТКИ, МЕГАМАРКЕТ</v>
      </c>
      <c r="C140" s="4" t="str">
        <f ca="1">IFERROR(__xludf.DUMMYFUNCTION("""COMPUTED_VALUE"""),"SSY1-RTL15CK-1CKA25")</f>
        <v>SSY1-RTL15CK-1CKA25</v>
      </c>
      <c r="D140" s="4" t="str">
        <f ca="1">IFERROR(__xludf.DUMMYFUNCTION("""COMPUTED_VALUE"""),"Продление подписки на обновления 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чере"&amp;"з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справочник"&amp;"ов,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устр"&amp;"ойство, подписка на обновления и обмен через Интернет на 1 (один) год")</f>
        <v>Продление подписки на обновления 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0" s="4" t="str">
        <f ca="1">IFERROR(__xludf.DUMMYFUNCTION("""COMPUTED_VALUE"""),"Продление подписки на обновления 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«1С: Комплексная автоматизация 2.5», для работы с маркированным товаром: ОБУВЬ, ОДЕЖДА, ПАРФЮМ, ШИНЫ и товары по штрихкодам  на 1 (один) год</v>
      </c>
      <c r="F140" s="5">
        <f ca="1">IFERROR(__xludf.DUMMYFUNCTION("""COMPUTED_VALUE"""),5270)</f>
        <v>5270</v>
      </c>
    </row>
    <row r="141" spans="1:6" ht="72" customHeight="1" x14ac:dyDescent="0.2">
      <c r="A141" s="4" t="str">
        <f ca="1">IFERROR(__xludf.DUMMYFUNCTION("""COMPUTED_VALUE"""),"«1С: Комплексная автоматизация 2.5»")</f>
        <v>«1С: Комплексная автоматизация 2.5»</v>
      </c>
      <c r="B141" s="4" t="str">
        <f ca="1">IFERROR(__xludf.DUMMYFUNCTION("""COMPUTED_VALUE"""),"ПРОДУКТОВЫЙ, БАЗОВЫЙ")</f>
        <v>ПРОДУКТОВЫЙ, БАЗОВЫЙ</v>
      </c>
      <c r="C141" s="4" t="str">
        <f ca="1">IFERROR(__xludf.DUMMYFUNCTION("""COMPUTED_VALUE"""),"SSY1-RTL15AG-1CKA25")</f>
        <v>SSY1-RTL15AG-1CKA25</v>
      </c>
      <c r="D141" s="4" t="str">
        <f ca="1">IFERROR(__xludf.DUMMYFUNCTION("""COMPUTED_VALUE"""),"Продление подписки на обновления 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"&amp;"проводной,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принтер),"&amp;"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складах"&amp;",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1" s="4" t="str">
        <f ca="1">IFERROR(__xludf.DUMMYFUNCTION("""COMPUTED_VALUE"""),"Продление подписки на обновления 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 на 1 (один"&amp;") год")</f>
        <v>Продление подписки на обновления Mobile SMARTS: Магазин 15 ПРОДУКТОВЫЙ, БАЗОВЫЙ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 на 1 (один) год</v>
      </c>
      <c r="F141" s="5">
        <f ca="1">IFERROR(__xludf.DUMMYFUNCTION("""COMPUTED_VALUE"""),2910)</f>
        <v>2910</v>
      </c>
    </row>
    <row r="142" spans="1:6" ht="72" customHeight="1" x14ac:dyDescent="0.2">
      <c r="A142" s="4" t="str">
        <f ca="1">IFERROR(__xludf.DUMMYFUNCTION("""COMPUTED_VALUE"""),"«1С: Комплексная автоматизация 2.5»")</f>
        <v>«1С: Комплексная автоматизация 2.5»</v>
      </c>
      <c r="B142" s="4" t="str">
        <f ca="1">IFERROR(__xludf.DUMMYFUNCTION("""COMPUTED_VALUE"""),"ПРОДУКТОВЫЙ, РАСШИРЕННЫЙ")</f>
        <v>ПРОДУКТОВЫЙ, РАСШИРЕННЫЙ</v>
      </c>
      <c r="C142" s="4" t="str">
        <f ca="1">IFERROR(__xludf.DUMMYFUNCTION("""COMPUTED_VALUE"""),"SSY1-RTL15BG-1CKA25")</f>
        <v>SSY1-RTL15BG-1CKA25</v>
      </c>
      <c r="D142" s="4" t="str">
        <f ca="1">IFERROR(__xludf.DUMMYFUNCTION("""COMPUTED_VALUE"""),"Продление подписки на обновления 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вы"&amp;"бор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принт"&amp;"ер),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скл"&amp;"адах,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2" s="4" t="str">
        <f ca="1">IFERROR(__xludf.DUMMYFUNCTION("""COMPUTED_VALUE"""),"Продление подписки на обновления 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 на 1 ("&amp;"один) год")</f>
        <v>Продление подписки на обновления Mobile SMARTS: Магазин 15 ПРОДУКТОВЫЙ, РАСШИРЕННЫЙ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 на 1 (один) год</v>
      </c>
      <c r="F142" s="5">
        <f ca="1">IFERROR(__xludf.DUMMYFUNCTION("""COMPUTED_VALUE"""),4190)</f>
        <v>4190</v>
      </c>
    </row>
    <row r="143" spans="1:6" ht="72" customHeight="1" x14ac:dyDescent="0.2">
      <c r="A143" s="4" t="str">
        <f ca="1">IFERROR(__xludf.DUMMYFUNCTION("""COMPUTED_VALUE"""),"«1С: Комплексная автоматизация 2.5»")</f>
        <v>«1С: Комплексная автоматизация 2.5»</v>
      </c>
      <c r="B143" s="4" t="str">
        <f ca="1">IFERROR(__xludf.DUMMYFUNCTION("""COMPUTED_VALUE"""),"ПРОДУКТОВЫЙ, МЕГАМАРКЕТ")</f>
        <v>ПРОДУКТОВЫЙ, МЕГАМАРКЕТ</v>
      </c>
      <c r="C143" s="4" t="str">
        <f ca="1">IFERROR(__xludf.DUMMYFUNCTION("""COMPUTED_VALUE"""),"SSY1-RTL15CG-1CKA25")</f>
        <v>SSY1-RTL15CG-1CKA25</v>
      </c>
      <c r="D143" s="4" t="str">
        <f ca="1">IFERROR(__xludf.DUMMYFUNCTION("""COMPUTED_VALUE"""),"Продление подписки на обновления 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инфо"&amp;"рмация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3" s="4" t="str">
        <f ca="1">IFERROR(__xludf.DUMMYFUNCTION("""COMPUTED_VALUE"""),"Продление подписки на обновления 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 на 1 (о"&amp;"дин) год")</f>
        <v>Продление подписки на обновления Mobile SMARTS: Магазин 15 ПРОДУКТОВЫЙ, МЕГАМАРКЕТ для «1С: Комплексная автоматизация 2.5», для работы с маркированным товаром: АЛКОГОЛЬ, ПИВО, ТАБАК, МОЛОКО, ВОДА, ОДЕЖДА, ОБУВЬ, ДУХИ, ШИНЫ и товаром по штрихкодам  на 1 (один) год</v>
      </c>
      <c r="F143" s="5">
        <f ca="1">IFERROR(__xludf.DUMMYFUNCTION("""COMPUTED_VALUE"""),5650)</f>
        <v>5650</v>
      </c>
    </row>
    <row r="144" spans="1:6" ht="72" customHeight="1" x14ac:dyDescent="0.2">
      <c r="A144" s="4" t="str">
        <f ca="1">IFERROR(__xludf.DUMMYFUNCTION("""COMPUTED_VALUE"""),"«1С: Управление торговлей 10.3»")</f>
        <v>«1С: Управление торговлей 10.3»</v>
      </c>
      <c r="B144" s="4" t="str">
        <f ca="1">IFERROR(__xludf.DUMMYFUNCTION("""COMPUTED_VALUE"""),"МИНИМУМ")</f>
        <v>МИНИМУМ</v>
      </c>
      <c r="C144" s="4" t="str">
        <f ca="1">IFERROR(__xludf.DUMMYFUNCTION("""COMPUTED_VALUE"""),"SSY1-RTL15M-1CUT103")</f>
        <v>SSY1-RTL15M-1CUT103</v>
      </c>
      <c r="D144" s="4" t="str">
        <f ca="1">IFERROR(__xludf.DUMMYFUNCTION("""COMPUTED_VALUE"""),"Продление подписки на обновления Mobile SMARTS: Магазин 15, МИНИМУМ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сбор штрихкодов, ин"&amp;"вентаризация,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"&amp;"обмен через Интернет на 1 (один) год")</f>
        <v>Продление подписки на обновления Mobile SMARTS: Магазин 15, МИНИМУМ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44" s="4" t="str">
        <f ca="1">IFERROR(__xludf.DUMMYFUNCTION("""COMPUTED_VALUE"""),"Продление подписки на обновления Mobile SMARTS: Магазин 15, МИНИМУМ для «1С: Управление торговлей 10.3», для работы с товаром по штрихкодам  на 1 (один) год")</f>
        <v>Продление подписки на обновления Mobile SMARTS: Магазин 15, МИНИМУМ для «1С: Управление торговлей 10.3», для работы с товаром по штрихкодам  на 1 (один) год</v>
      </c>
      <c r="F144" s="5">
        <f ca="1">IFERROR(__xludf.DUMMYFUNCTION("""COMPUTED_VALUE"""),690)</f>
        <v>690</v>
      </c>
    </row>
    <row r="145" spans="1:6" ht="72" customHeight="1" x14ac:dyDescent="0.2">
      <c r="A145" s="4" t="str">
        <f ca="1">IFERROR(__xludf.DUMMYFUNCTION("""COMPUTED_VALUE"""),"«1С: Управление торговлей 10.3»")</f>
        <v>«1С: Управление торговлей 10.3»</v>
      </c>
      <c r="B145" s="4" t="str">
        <f ca="1">IFERROR(__xludf.DUMMYFUNCTION("""COMPUTED_VALUE"""),"БАЗОВЫЙ")</f>
        <v>БАЗОВЫЙ</v>
      </c>
      <c r="C145" s="4" t="str">
        <f ca="1">IFERROR(__xludf.DUMMYFUNCTION("""COMPUTED_VALUE"""),"SSY1-RTL15A-1CUT103")</f>
        <v>SSY1-RTL15A-1CUT103</v>
      </c>
      <c r="D145" s="4" t="str">
        <f ca="1">IFERROR(__xludf.DUMMYFUNCTION("""COMPUTED_VALUE"""),"Продление подписки на обновления Mobile SMARTS: Магазин 15, БАЗОВЫЙ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10.3»,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5" s="4" t="str">
        <f ca="1">IFERROR(__xludf.DUMMYFUNCTION("""COMPUTED_VALUE"""),"Продление подписки на обновления Mobile SMARTS: Магазин 15, БАЗОВЫЙ для «1С: Управление торговлей 10.3», для работы с товаром по штрихкодам  на 1 (один) год")</f>
        <v>Продление подписки на обновления Mobile SMARTS: Магазин 15, БАЗОВЫЙ для «1С: Управление торговлей 10.3», для работы с товаром по штрихкодам  на 1 (один) год</v>
      </c>
      <c r="F145" s="5">
        <f ca="1">IFERROR(__xludf.DUMMYFUNCTION("""COMPUTED_VALUE"""),1730)</f>
        <v>1730</v>
      </c>
    </row>
    <row r="146" spans="1:6" ht="72" customHeight="1" x14ac:dyDescent="0.2">
      <c r="A146" s="4" t="str">
        <f ca="1">IFERROR(__xludf.DUMMYFUNCTION("""COMPUTED_VALUE"""),"«1С: Управление торговлей 10.3»")</f>
        <v>«1С: Управление торговлей 10.3»</v>
      </c>
      <c r="B146" s="4" t="str">
        <f ca="1">IFERROR(__xludf.DUMMYFUNCTION("""COMPUTED_VALUE"""),"РАСШИРЕННЫЙ")</f>
        <v>РАСШИРЕННЫЙ</v>
      </c>
      <c r="C146" s="4" t="str">
        <f ca="1">IFERROR(__xludf.DUMMYFUNCTION("""COMPUTED_VALUE"""),"SSY1-RTL15B-1CUT103")</f>
        <v>SSY1-RTL15B-1CUT103</v>
      </c>
      <c r="D146" s="4" t="str">
        <f ca="1">IFERROR(__xludf.DUMMYFUNCTION("""COMPUTED_VALUE"""),"Продление подписки на обновления Mobile SMARTS: Магазин 15, РАСШИРЕННЫЙ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6" s="4" t="str">
        <f ca="1">IFERROR(__xludf.DUMMYFUNCTION("""COMPUTED_VALUE"""),"Продление подписки на обновления Mobile SMARTS: Магазин 15, РАСШИРЕННЫЙ для «1С: Управление торговлей 10.3»,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10.3», для работы с товаром по штрихкодам  на 1 (один) год</v>
      </c>
      <c r="F146" s="5">
        <f ca="1">IFERROR(__xludf.DUMMYFUNCTION("""COMPUTED_VALUE"""),3010)</f>
        <v>3010</v>
      </c>
    </row>
    <row r="147" spans="1:6" ht="72" customHeight="1" x14ac:dyDescent="0.2">
      <c r="A147" s="4" t="str">
        <f ca="1">IFERROR(__xludf.DUMMYFUNCTION("""COMPUTED_VALUE"""),"«1С: Управление торговлей 10.3»")</f>
        <v>«1С: Управление торговлей 10.3»</v>
      </c>
      <c r="B147" s="4" t="str">
        <f ca="1">IFERROR(__xludf.DUMMYFUNCTION("""COMPUTED_VALUE"""),"МЕГАМАРКЕТ")</f>
        <v>МЕГАМАРКЕТ</v>
      </c>
      <c r="C147" s="4" t="str">
        <f ca="1">IFERROR(__xludf.DUMMYFUNCTION("""COMPUTED_VALUE"""),"SSY1-RTL15C-1CUT103")</f>
        <v>SSY1-RTL15C-1CUT103</v>
      </c>
      <c r="D147" s="4" t="str">
        <f ca="1">IFERROR(__xludf.DUMMYFUNCTION("""COMPUTED_VALUE"""),"Продление подписки на обновления Mobile SMARTS: Магазин 15, МЕГАМАРКЕТ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инв"&amp;"ентаризация,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10.3»,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7" s="4" t="str">
        <f ca="1">IFERROR(__xludf.DUMMYFUNCTION("""COMPUTED_VALUE"""),"Продление подписки на обновления Mobile SMARTS: Магазин 15, МЕГАМАРКЕТ для «1С: Управление торговлей 10.3»,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10.3», для работы с товаром по штрихкодам  на 1 (один) год</v>
      </c>
      <c r="F147" s="5">
        <f ca="1">IFERROR(__xludf.DUMMYFUNCTION("""COMPUTED_VALUE"""),4310)</f>
        <v>4310</v>
      </c>
    </row>
    <row r="148" spans="1:6" ht="72" customHeight="1" x14ac:dyDescent="0.2">
      <c r="A148" s="4" t="str">
        <f ca="1">IFERROR(__xludf.DUMMYFUNCTION("""COMPUTED_VALUE"""),"«1С: Управление торговлей 10.3»")</f>
        <v>«1С: Управление торговлей 10.3»</v>
      </c>
      <c r="B148" s="4" t="str">
        <f ca="1">IFERROR(__xludf.DUMMYFUNCTION("""COMPUTED_VALUE"""),"с ЕГАИС, БАЗОВЫЙ")</f>
        <v>с ЕГАИС, БАЗОВЫЙ</v>
      </c>
      <c r="C148" s="4" t="str">
        <f ca="1">IFERROR(__xludf.DUMMYFUNCTION("""COMPUTED_VALUE"""),"SSY1-RTL15AE-1CUT103")</f>
        <v>SSY1-RTL15AE-1CUT103</v>
      </c>
      <c r="D148" s="4" t="str">
        <f ca="1">IFERROR(__xludf.DUMMYFUNCTION("""COMPUTED_VALUE"""),"Продление подписки на обновления Mobile SMARTS: Магазин 15 с ЕГАИС, БАЗОВЫЙ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нет он"&amp;"лайна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печать"&amp;"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Продление подписки на обновления Mobile SMARTS: Магазин 15 с ЕГАИС, БАЗОВЫЙ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48" s="4" t="str">
        <f ca="1">IFERROR(__xludf.DUMMYFUNCTION("""COMPUTED_VALUE"""),"Продление подписки на обновления Mobile SMARTS: Магазин 15 с ЕГАИС, БАЗОВЫЙ для «1С: Управление торговлей 10.3»,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Управление торговлей 10.3», для работы с маркированным товаром: алкоголь ЕГАИС и товары по штрихкодам  на 1 (один) год</v>
      </c>
      <c r="F148" s="5">
        <f ca="1">IFERROR(__xludf.DUMMYFUNCTION("""COMPUTED_VALUE"""),2200)</f>
        <v>2200</v>
      </c>
    </row>
    <row r="149" spans="1:6" ht="72" customHeight="1" x14ac:dyDescent="0.2">
      <c r="A149" s="4" t="str">
        <f ca="1">IFERROR(__xludf.DUMMYFUNCTION("""COMPUTED_VALUE"""),"«1С: Управление торговлей 10.3»")</f>
        <v>«1С: Управление торговлей 10.3»</v>
      </c>
      <c r="B149" s="4" t="str">
        <f ca="1">IFERROR(__xludf.DUMMYFUNCTION("""COMPUTED_VALUE"""),"с ЕГАИС, РАСШИРЕННЫЙ")</f>
        <v>с ЕГАИС, РАСШИРЕННЫЙ</v>
      </c>
      <c r="C149" s="4" t="str">
        <f ca="1">IFERROR(__xludf.DUMMYFUNCTION("""COMPUTED_VALUE"""),"SSY1-RTL15BE-1CUT103")</f>
        <v>SSY1-RTL15BE-1CUT103</v>
      </c>
      <c r="D149" s="4" t="str">
        <f ca="1">IFERROR(__xludf.DUMMYFUNCTION("""COMPUTED_VALUE"""),"Продление подписки на обновления Mobile SMARTS: Магазин 15 с ЕГАИС, РАСШИРЕННЫЙ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ес"&amp;"ть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Продление подписки на обновления Mobile SMARTS: Магазин 15 с ЕГАИС, РАСШИРЕННЫЙ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49" s="4" t="str">
        <f ca="1">IFERROR(__xludf.DUMMYFUNCTION("""COMPUTED_VALUE"""),"Продление подписки на обновления Mobile SMARTS: Магазин 15 с ЕГАИС, РАСШИРЕННЫЙ для «1С: Управление торговлей 10.3»,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Управление торговлей 10.3», для работы с маркированным товаром: алкоголь ЕГАИС и товары по штрихкодам  на 1 (один) год</v>
      </c>
      <c r="F149" s="5">
        <f ca="1">IFERROR(__xludf.DUMMYFUNCTION("""COMPUTED_VALUE"""),3490)</f>
        <v>3490</v>
      </c>
    </row>
    <row r="150" spans="1:6" ht="72" customHeight="1" x14ac:dyDescent="0.2">
      <c r="A150" s="4" t="str">
        <f ca="1">IFERROR(__xludf.DUMMYFUNCTION("""COMPUTED_VALUE"""),"«1С: Управление торговлей 10.3»")</f>
        <v>«1С: Управление торговлей 10.3»</v>
      </c>
      <c r="B150" s="4" t="str">
        <f ca="1">IFERROR(__xludf.DUMMYFUNCTION("""COMPUTED_VALUE"""),"с ЕГАИС (без CheckMark2), МЕГАМАРКЕТ")</f>
        <v>с ЕГАИС (без CheckMark2), МЕГАМАРКЕТ</v>
      </c>
      <c r="C150" s="4" t="str">
        <f ca="1">IFERROR(__xludf.DUMMYFUNCTION("""COMPUTED_VALUE"""),"SSY1-RTL15CEV-1CUT103")</f>
        <v>SSY1-RTL15CEV-1CUT103</v>
      </c>
      <c r="D150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чер"&amp;"ез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/"&amp;"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устройство"&amp;",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0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Управление торговлей 10.3», для работы с маркированным товаром: алкоголь ЕГАИС и товары по штрихкодам  на 1 (один) год</v>
      </c>
      <c r="F150" s="5">
        <f ca="1">IFERROR(__xludf.DUMMYFUNCTION("""COMPUTED_VALUE"""),4770)</f>
        <v>4770</v>
      </c>
    </row>
    <row r="151" spans="1:6" ht="72" customHeight="1" x14ac:dyDescent="0.2">
      <c r="A151" s="4" t="str">
        <f ca="1">IFERROR(__xludf.DUMMYFUNCTION("""COMPUTED_VALUE"""),"«1С: Управление торговлей 10.3.59»")</f>
        <v>«1С: Управление торговлей 10.3.59»</v>
      </c>
      <c r="B151" s="4" t="str">
        <f ca="1">IFERROR(__xludf.DUMMYFUNCTION("""COMPUTED_VALUE"""),"с МОТП, БАЗОВЫЙ")</f>
        <v>с МОТП, БАЗОВЫЙ</v>
      </c>
      <c r="C151" s="4" t="str">
        <f ca="1">IFERROR(__xludf.DUMMYFUNCTION("""COMPUTED_VALUE"""),"SSY1-RTL15AT-1CUT103")</f>
        <v>SSY1-RTL15AT-1CUT103</v>
      </c>
      <c r="D151" s="4" t="str">
        <f ca="1">IFERROR(__xludf.DUMMYFUNCTION("""COMPUTED_VALUE"""),"Продление подписки на обновления Mobile SMARTS: Магазин 15 с МОТП, БАЗОВЫЙ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нет онлайна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МОТП, БАЗОВЫЙ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1" s="4" t="str">
        <f ca="1">IFERROR(__xludf.DUMMYFUNCTION("""COMPUTED_VALUE"""),"Продление подписки на обновления Mobile SMARTS: Магазин 15 с МОТП, БАЗОВЫЙ для «1С: Управление торговлей 10.3.59»,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Управление торговлей 10.3.59», для работы с маркированным товаром: ТАБАК и товары по штрихкодам  на 1 (один) год</v>
      </c>
      <c r="F151" s="5">
        <f ca="1">IFERROR(__xludf.DUMMYFUNCTION("""COMPUTED_VALUE"""),2230)</f>
        <v>2230</v>
      </c>
    </row>
    <row r="152" spans="1:6" ht="72" customHeight="1" x14ac:dyDescent="0.2">
      <c r="A152" s="4" t="str">
        <f ca="1">IFERROR(__xludf.DUMMYFUNCTION("""COMPUTED_VALUE"""),"«1С: Управление торговлей 10.3.59»")</f>
        <v>«1С: Управление торговлей 10.3.59»</v>
      </c>
      <c r="B152" s="4" t="str">
        <f ca="1">IFERROR(__xludf.DUMMYFUNCTION("""COMPUTED_VALUE"""),"с МОТП, РАСШИРЕННЫЙ")</f>
        <v>с МОТП, РАСШИРЕННЫЙ</v>
      </c>
      <c r="C152" s="4" t="str">
        <f ca="1">IFERROR(__xludf.DUMMYFUNCTION("""COMPUTED_VALUE"""),"SSY1-RTL15BT-1CUT103")</f>
        <v>SSY1-RTL15BT-1CUT103</v>
      </c>
      <c r="D152" s="4" t="str">
        <f ca="1">IFERROR(__xludf.DUMMYFUNCTION("""COMPUTED_VALUE"""),"Продление подписки на обновления Mobile SMARTS: Магазин 15 с МОТП, РАСШИРЕННЫЙ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Продление подписки на обновления Mobile SMARTS: Магазин 15 с МОТП, РАСШИРЕННЫЙ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2" s="4" t="str">
        <f ca="1">IFERROR(__xludf.DUMMYFUNCTION("""COMPUTED_VALUE"""),"Продление подписки на обновления Mobile SMARTS: Магазин 15 с МОТП, РАСШИРЕННЫЙ для «1С: Управление торговлей 10.3.59»,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Управление торговлей 10.3.59», для работы с маркированным товаром: ТАБАК и товары по штрихкодам  на 1 (один) год</v>
      </c>
      <c r="F152" s="5">
        <f ca="1">IFERROR(__xludf.DUMMYFUNCTION("""COMPUTED_VALUE"""),3490)</f>
        <v>3490</v>
      </c>
    </row>
    <row r="153" spans="1:6" ht="72" customHeight="1" x14ac:dyDescent="0.2">
      <c r="A153" s="4" t="str">
        <f ca="1">IFERROR(__xludf.DUMMYFUNCTION("""COMPUTED_VALUE"""),"«1С: Управление торговлей 10.3.59»")</f>
        <v>«1С: Управление торговлей 10.3.59»</v>
      </c>
      <c r="B153" s="4" t="str">
        <f ca="1">IFERROR(__xludf.DUMMYFUNCTION("""COMPUTED_VALUE"""),"с МОТП, МЕГАМАРКЕТ")</f>
        <v>с МОТП, МЕГАМАРКЕТ</v>
      </c>
      <c r="C153" s="4" t="str">
        <f ca="1">IFERROR(__xludf.DUMMYFUNCTION("""COMPUTED_VALUE"""),"SSY1-RTL15CT-1CUT103")</f>
        <v>SSY1-RTL15CT-1CUT103</v>
      </c>
      <c r="D153" s="4" t="str">
        <f ca="1">IFERROR(__xludf.DUMMYFUNCTION("""COMPUTED_VALUE"""),"Продление подписки на обновления Mobile SMARTS: Магазин 15 с МОТП, МЕГАМАРКЕТ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Продление подписки на обновления Mobile SMARTS: Магазин 15 с МОТП, МЕГАМАРКЕТ для «1С: Управление торговлей 10.3.59»,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3" s="4" t="str">
        <f ca="1">IFERROR(__xludf.DUMMYFUNCTION("""COMPUTED_VALUE"""),"Продление подписки на обновления Mobile SMARTS: Магазин 15 с МОТП, МЕГАМАРКЕТ для «1С: Управление торговлей 10.3.59»,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Управление торговлей 10.3.59», для работы с маркированным товаром: ТАБАК и товары по штрихкодам  на 1 (один) год</v>
      </c>
      <c r="F153" s="5">
        <f ca="1">IFERROR(__xludf.DUMMYFUNCTION("""COMPUTED_VALUE"""),4770)</f>
        <v>4770</v>
      </c>
    </row>
    <row r="154" spans="1:6" ht="72" customHeight="1" x14ac:dyDescent="0.2">
      <c r="A154" s="4" t="str">
        <f ca="1">IFERROR(__xludf.DUMMYFUNCTION("""COMPUTED_VALUE"""),"«1С: Управление торговлей 10.3.59»")</f>
        <v>«1С: Управление торговлей 10.3.59»</v>
      </c>
      <c r="B154" s="4" t="str">
        <f ca="1">IFERROR(__xludf.DUMMYFUNCTION("""COMPUTED_VALUE"""),"с ЕГАИС и МОТП, БАЗОВЫЙ")</f>
        <v>с ЕГАИС и МОТП, БАЗОВЫЙ</v>
      </c>
      <c r="C154" s="4" t="str">
        <f ca="1">IFERROR(__xludf.DUMMYFUNCTION("""COMPUTED_VALUE"""),"SSY1-RTL15AET-1CUT103")</f>
        <v>SSY1-RTL15AET-1CUT103</v>
      </c>
      <c r="D154" s="4" t="str">
        <f ca="1">IFERROR(__xludf.DUMMYFUNCTION("""COMPUTED_VALUE"""),"Продление подписки на обновления Mobile SMARTS: Магазин 15 с ЕГАИС и МОТП, БАЗОВЫЙ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Интерн"&amp;"ет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отгр"&amp;"узка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4" s="4" t="str">
        <f ca="1">IFERROR(__xludf.DUMMYFUNCTION("""COMPUTED_VALUE"""),"Продление подписки на обновления Mobile SMARTS: Магазин 15 с ЕГАИС и МОТП, БАЗОВЫЙ для «1С: Управление торговлей 10.3.59»,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Управление торговлей 10.3.59», для работы с маркированным товаром: АЛКОГОЛЬ, ТАБАК и товары по штрихкодам  на 1 (один) год</v>
      </c>
      <c r="F154" s="5">
        <f ca="1">IFERROR(__xludf.DUMMYFUNCTION("""COMPUTED_VALUE"""),2430)</f>
        <v>2430</v>
      </c>
    </row>
    <row r="155" spans="1:6" ht="72" customHeight="1" x14ac:dyDescent="0.2">
      <c r="A155" s="4" t="str">
        <f ca="1">IFERROR(__xludf.DUMMYFUNCTION("""COMPUTED_VALUE"""),"«1С: Управление торговлей 10.3.59»")</f>
        <v>«1С: Управление торговлей 10.3.59»</v>
      </c>
      <c r="B155" s="4" t="str">
        <f ca="1">IFERROR(__xludf.DUMMYFUNCTION("""COMPUTED_VALUE"""),"с ЕГАИС и МОТП, РАСШИРЕННЫЙ")</f>
        <v>с ЕГАИС и МОТП, РАСШИРЕННЫЙ</v>
      </c>
      <c r="C155" s="4" t="str">
        <f ca="1">IFERROR(__xludf.DUMMYFUNCTION("""COMPUTED_VALUE"""),"SSY1-RTL15BET-1CUT103")</f>
        <v>SSY1-RTL15BET-1CUT103</v>
      </c>
      <c r="D155" s="4" t="str">
        <f ca="1">IFERROR(__xludf.DUMMYFUNCTION("""COMPUTED_VALUE"""),"Продление подписки на обновления 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Ин"&amp;"тернет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"&amp;"отгрузка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5" s="4" t="str">
        <f ca="1">IFERROR(__xludf.DUMMYFUNCTION("""COMPUTED_VALUE"""),"Продление подписки на обновления 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Управление торговлей 10.3.59», для работы с маркированным товаром: АЛКОГОЛЬ, ТАБАК и товары по штрихкодам  на 1 (один) год</v>
      </c>
      <c r="F155" s="5">
        <f ca="1">IFERROR(__xludf.DUMMYFUNCTION("""COMPUTED_VALUE"""),3710)</f>
        <v>3710</v>
      </c>
    </row>
    <row r="156" spans="1:6" ht="72" customHeight="1" x14ac:dyDescent="0.2">
      <c r="A156" s="4" t="str">
        <f ca="1">IFERROR(__xludf.DUMMYFUNCTION("""COMPUTED_VALUE"""),"«1С: Управление торговлей 10.3.59»")</f>
        <v>«1С: Управление торговлей 10.3.59»</v>
      </c>
      <c r="B156" s="4" t="str">
        <f ca="1">IFERROR(__xludf.DUMMYFUNCTION("""COMPUTED_VALUE"""),"с ЕГАИС и МОТП, МЕГАМАРКЕТ")</f>
        <v>с ЕГАИС и МОТП, МЕГАМАРКЕТ</v>
      </c>
      <c r="C156" s="4" t="str">
        <f ca="1">IFERROR(__xludf.DUMMYFUNCTION("""COMPUTED_VALUE"""),"SSY1-RTL15CET-1CUT103")</f>
        <v>SSY1-RTL15CET-1CUT103</v>
      </c>
      <c r="D156" s="4" t="str">
        <f ca="1">IFERROR(__xludf.DUMMYFUNCTION("""COMPUTED_VALUE"""),"Продление подписки на обновления 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Инт"&amp;"ернет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о"&amp;"тгрузка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6" s="4" t="str">
        <f ca="1">IFERROR(__xludf.DUMMYFUNCTION("""COMPUTED_VALUE"""),"Продление подписки на обновления 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Управление торговлей 10.3.59», для работы с маркированным товаром: АЛКОГОЛЬ, ТАБАК и товары по штрихкодам  на 1 (один) год</v>
      </c>
      <c r="F156" s="5">
        <f ca="1">IFERROR(__xludf.DUMMYFUNCTION("""COMPUTED_VALUE"""),5270)</f>
        <v>5270</v>
      </c>
    </row>
    <row r="157" spans="1:6" ht="72" customHeight="1" x14ac:dyDescent="0.2">
      <c r="A157" s="4" t="str">
        <f ca="1">IFERROR(__xludf.DUMMYFUNCTION("""COMPUTED_VALUE"""),"«1С: Управление торговлей 10.3.59»")</f>
        <v>«1С: Управление торговлей 10.3.59»</v>
      </c>
      <c r="B157" s="4" t="str">
        <f ca="1">IFERROR(__xludf.DUMMYFUNCTION("""COMPUTED_VALUE"""),"ШМОТКИ, БАЗОВЫЙ")</f>
        <v>ШМОТКИ, БАЗОВЫЙ</v>
      </c>
      <c r="C157" s="4" t="str">
        <f ca="1">IFERROR(__xludf.DUMMYFUNCTION("""COMPUTED_VALUE"""),"SSY1-RTL15AK-1CUT103")</f>
        <v>SSY1-RTL15AK-1CUT103</v>
      </c>
      <c r="D157" s="4" t="str">
        <f ca="1">IFERROR(__xludf.DUMMYFUNCTION("""COMPUTED_VALUE"""),"Продление подписки на обновления 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Ин"&amp;"тернет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"&amp;"настройки,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и обмен через Интернет на 1 (один) год")</f>
        <v>Продление подписки на обновления 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7" s="4" t="str">
        <f ca="1">IFERROR(__xludf.DUMMYFUNCTION("""COMPUTED_VALUE"""),"Продление подписки на обновления 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Управление торговлей 10.3.59», для работы с маркированным товаром: ОБУВЬ, ОДЕЖДА, ПАРФЮМ, ШИНЫ и товары по штрихкодам  на 1 (один) год</v>
      </c>
      <c r="F157" s="5">
        <f ca="1">IFERROR(__xludf.DUMMYFUNCTION("""COMPUTED_VALUE"""),2430)</f>
        <v>2430</v>
      </c>
    </row>
    <row r="158" spans="1:6" ht="72" customHeight="1" x14ac:dyDescent="0.2">
      <c r="A158" s="4" t="str">
        <f ca="1">IFERROR(__xludf.DUMMYFUNCTION("""COMPUTED_VALUE"""),"«1С: Управление торговлей 10.3.59»")</f>
        <v>«1С: Управление торговлей 10.3.59»</v>
      </c>
      <c r="B158" s="4" t="str">
        <f ca="1">IFERROR(__xludf.DUMMYFUNCTION("""COMPUTED_VALUE"""),"ШМОТКИ, РАСШИРЕННЫЙ")</f>
        <v>ШМОТКИ, РАСШИРЕННЫЙ</v>
      </c>
      <c r="C158" s="4" t="str">
        <f ca="1">IFERROR(__xludf.DUMMYFUNCTION("""COMPUTED_VALUE"""),"SSY1-RTL15BK-1CUT103")</f>
        <v>SSY1-RTL15BK-1CUT103</v>
      </c>
      <c r="D158" s="4" t="str">
        <f ca="1">IFERROR(__xludf.DUMMYFUNCTION("""COMPUTED_VALUE"""),"Продление подписки на обновления 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чере"&amp;"з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справочник"&amp;"ов,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и обмен через Интернет на 1 (один) год")</f>
        <v>Продление подписки на обновления 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8" s="4" t="str">
        <f ca="1">IFERROR(__xludf.DUMMYFUNCTION("""COMPUTED_VALUE"""),"Продление подписки на обновления 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«1С: Управление торговлей 10.3.59», для работы с маркированным товаром: ОБУВЬ, ОДЕЖДА, ПАРФЮМ, ШИНЫ и товары по штрихкодам  на 1 (один) год</v>
      </c>
      <c r="F158" s="5">
        <f ca="1">IFERROR(__xludf.DUMMYFUNCTION("""COMPUTED_VALUE"""),3710)</f>
        <v>3710</v>
      </c>
    </row>
    <row r="159" spans="1:6" ht="72" customHeight="1" x14ac:dyDescent="0.2">
      <c r="A159" s="4" t="str">
        <f ca="1">IFERROR(__xludf.DUMMYFUNCTION("""COMPUTED_VALUE"""),"«1С: Управление торговлей 10.3.59»")</f>
        <v>«1С: Управление торговлей 10.3.59»</v>
      </c>
      <c r="B159" s="4" t="str">
        <f ca="1">IFERROR(__xludf.DUMMYFUNCTION("""COMPUTED_VALUE"""),"ШМОТКИ, МЕГАМАРКЕТ")</f>
        <v>ШМОТКИ, МЕГАМАРКЕТ</v>
      </c>
      <c r="C159" s="4" t="str">
        <f ca="1">IFERROR(__xludf.DUMMYFUNCTION("""COMPUTED_VALUE"""),"SSY1-RTL15CK-1CUT103")</f>
        <v>SSY1-RTL15CK-1CUT103</v>
      </c>
      <c r="D159" s="4" t="str">
        <f ca="1">IFERROR(__xludf.DUMMYFUNCTION("""COMPUTED_VALUE"""),"Продление подписки на обновления 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через"&amp;"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справочнико"&amp;"в,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устро"&amp;"йство, подписка на обновления и обмен через Интернет на 1 (один) год")</f>
        <v>Продление подписки на обновления 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59" s="4" t="str">
        <f ca="1">IFERROR(__xludf.DUMMYFUNCTION("""COMPUTED_VALUE"""),"Продление подписки на обновления 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«1С: Управление торговлей 10.3.59», для работы с маркированным товаром: ОБУВЬ, ОДЕЖДА, ПАРФЮМ, ШИНЫ и товары по штрихкодам  на 1 (один) год</v>
      </c>
      <c r="F159" s="5">
        <f ca="1">IFERROR(__xludf.DUMMYFUNCTION("""COMPUTED_VALUE"""),5270)</f>
        <v>5270</v>
      </c>
    </row>
    <row r="160" spans="1:6" ht="72" customHeight="1" x14ac:dyDescent="0.2">
      <c r="A160" s="4" t="str">
        <f ca="1">IFERROR(__xludf.DUMMYFUNCTION("""COMPUTED_VALUE"""),"«1С: Управление торговлей 10.3.59»")</f>
        <v>«1С: Управление торговлей 10.3.59»</v>
      </c>
      <c r="B160" s="4" t="str">
        <f ca="1">IFERROR(__xludf.DUMMYFUNCTION("""COMPUTED_VALUE"""),"ПРОДУКТОВЫЙ, БАЗОВЫЙ")</f>
        <v>ПРОДУКТОВЫЙ, БАЗОВЫЙ</v>
      </c>
      <c r="C160" s="4" t="str">
        <f ca="1">IFERROR(__xludf.DUMMYFUNCTION("""COMPUTED_VALUE"""),"SSY1-RTL15AG-1CUT103")</f>
        <v>SSY1-RTL15AG-1CUT103</v>
      </c>
      <c r="D160" s="4" t="str">
        <f ca="1">IFERROR(__xludf.DUMMYFUNCTION("""COMPUTED_VALUE"""),"Продление подписки на обновления 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п"&amp;"роводной,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"&amp;"списание,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0" s="4" t="str">
        <f ca="1">IFERROR(__xludf.DUMMYFUNCTION("""COMPUTED_VALUE"""),"Продление подписки на обновления 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 на 1 (один)"&amp;" год")</f>
        <v>Продление подписки на обновления Mobile SMARTS: Магазин 15 ПРОДУКТОВЫЙ, БАЗОВЫЙ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 на 1 (один) год</v>
      </c>
      <c r="F160" s="5">
        <f ca="1">IFERROR(__xludf.DUMMYFUNCTION("""COMPUTED_VALUE"""),2910)</f>
        <v>2910</v>
      </c>
    </row>
    <row r="161" spans="1:6" ht="72" customHeight="1" x14ac:dyDescent="0.2">
      <c r="A161" s="4" t="str">
        <f ca="1">IFERROR(__xludf.DUMMYFUNCTION("""COMPUTED_VALUE"""),"«1С: Управление торговлей 10.3.59»")</f>
        <v>«1С: Управление торговлей 10.3.59»</v>
      </c>
      <c r="B161" s="4" t="str">
        <f ca="1">IFERROR(__xludf.DUMMYFUNCTION("""COMPUTED_VALUE"""),"ПРОДУКТОВЫЙ, РАСШИРЕННЫЙ")</f>
        <v>ПРОДУКТОВЫЙ, РАСШИРЕННЫЙ</v>
      </c>
      <c r="C161" s="4" t="str">
        <f ca="1">IFERROR(__xludf.DUMMYFUNCTION("""COMPUTED_VALUE"""),"SSY1-RTL15BG-1CUT103")</f>
        <v>SSY1-RTL15BG-1CUT103</v>
      </c>
      <c r="D161" s="4" t="str">
        <f ca="1">IFERROR(__xludf.DUMMYFUNCTION("""COMPUTED_VALUE"""),"Продление подписки на обновления 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1" s="4" t="str">
        <f ca="1">IFERROR(__xludf.DUMMYFUNCTION("""COMPUTED_VALUE"""),"Продление подписки на обновления 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 на 1 (о"&amp;"дин) год")</f>
        <v>Продление подписки на обновления Mobile SMARTS: Магазин 15 ПРОДУКТОВЫЙ, РАСШИРЕННЫЙ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 на 1 (один) год</v>
      </c>
      <c r="F161" s="5">
        <f ca="1">IFERROR(__xludf.DUMMYFUNCTION("""COMPUTED_VALUE"""),4190)</f>
        <v>4190</v>
      </c>
    </row>
    <row r="162" spans="1:6" ht="72" customHeight="1" x14ac:dyDescent="0.2">
      <c r="A162" s="4" t="str">
        <f ca="1">IFERROR(__xludf.DUMMYFUNCTION("""COMPUTED_VALUE"""),"«1С: Управление торговлей 10.3.59»")</f>
        <v>«1С: Управление торговлей 10.3.59»</v>
      </c>
      <c r="B162" s="4" t="str">
        <f ca="1">IFERROR(__xludf.DUMMYFUNCTION("""COMPUTED_VALUE"""),"ПРОДУКТОВЫЙ, МЕГАМАРКЕТ")</f>
        <v>ПРОДУКТОВЫЙ, МЕГАМАРКЕТ</v>
      </c>
      <c r="C162" s="4" t="str">
        <f ca="1">IFERROR(__xludf.DUMMYFUNCTION("""COMPUTED_VALUE"""),"SSY1-RTL15CG-1CUT103")</f>
        <v>SSY1-RTL15CG-1CUT103</v>
      </c>
      <c r="D162" s="4" t="str">
        <f ca="1">IFERROR(__xludf.DUMMYFUNCTION("""COMPUTED_VALUE"""),"Продление подписки на обновления 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выбо"&amp;"р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2" s="4" t="str">
        <f ca="1">IFERROR(__xludf.DUMMYFUNCTION("""COMPUTED_VALUE"""),"Продление подписки на обновления 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 на 1 (од"&amp;"ин) год")</f>
        <v>Продление подписки на обновления Mobile SMARTS: Магазин 15 ПРОДУКТОВЫЙ, МЕГАМАРКЕТ для «1С: Управление торговлей 10.3.59», для работы с маркированным товаром: АЛКОГОЛЬ, ПИВО, ТАБАК, МОЛОКО, ВОДА, ОДЕЖДА, ОБУВЬ, ДУХИ, ШИНЫ и товаром по штрихкодам  на 1 (один) год</v>
      </c>
      <c r="F162" s="5">
        <f ca="1">IFERROR(__xludf.DUMMYFUNCTION("""COMPUTED_VALUE"""),5650)</f>
        <v>5650</v>
      </c>
    </row>
    <row r="163" spans="1:6" ht="72" customHeight="1" x14ac:dyDescent="0.2">
      <c r="A163" s="4" t="str">
        <f ca="1">IFERROR(__xludf.DUMMYFUNCTION("""COMPUTED_VALUE"""),"«1С: Комплексная автоматизация 1.1»")</f>
        <v>«1С: Комплексная автоматизация 1.1»</v>
      </c>
      <c r="B163" s="4" t="str">
        <f ca="1">IFERROR(__xludf.DUMMYFUNCTION("""COMPUTED_VALUE"""),"МИНИМУМ")</f>
        <v>МИНИМУМ</v>
      </c>
      <c r="C163" s="4" t="str">
        <f ca="1">IFERROR(__xludf.DUMMYFUNCTION("""COMPUTED_VALUE"""),"SSY1-RTL15M-1CKA11")</f>
        <v>SSY1-RTL15M-1CKA11</v>
      </c>
      <c r="D163" s="4" t="str">
        <f ca="1">IFERROR(__xludf.DUMMYFUNCTION("""COMPUTED_VALUE"""),"Продление подписки на обновления Mobile SMARTS: Магазин 15, МИНИМУМ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сбор штрихкодов"&amp;",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обновлени"&amp;"я и обмен через Интернет на 1 (один) год")</f>
        <v>Продление подписки на обновления Mobile SMARTS: Магазин 15, МИНИМУМ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63" s="4" t="str">
        <f ca="1">IFERROR(__xludf.DUMMYFUNCTION("""COMPUTED_VALUE"""),"Продление подписки на обновления Mobile SMARTS: Магазин 15, МИНИМУМ для «1С: Комплексная автоматизация 1.1», для работы с товаром по штрихкодам  на 1 (один) год")</f>
        <v>Продление подписки на обновления Mobile SMARTS: Магазин 15, МИНИМУМ для «1С: Комплексная автоматизация 1.1», для работы с товаром по штрихкодам  на 1 (один) год</v>
      </c>
      <c r="F163" s="5">
        <f ca="1">IFERROR(__xludf.DUMMYFUNCTION("""COMPUTED_VALUE"""),690)</f>
        <v>690</v>
      </c>
    </row>
    <row r="164" spans="1:6" ht="72" customHeight="1" x14ac:dyDescent="0.2">
      <c r="A164" s="4" t="str">
        <f ca="1">IFERROR(__xludf.DUMMYFUNCTION("""COMPUTED_VALUE"""),"«1С: Комплексная автоматизация 1.1»")</f>
        <v>«1С: Комплексная автоматизация 1.1»</v>
      </c>
      <c r="B164" s="4" t="str">
        <f ca="1">IFERROR(__xludf.DUMMYFUNCTION("""COMPUTED_VALUE"""),"БАЗОВЫЙ")</f>
        <v>БАЗОВЫЙ</v>
      </c>
      <c r="C164" s="4" t="str">
        <f ca="1">IFERROR(__xludf.DUMMYFUNCTION("""COMPUTED_VALUE"""),"SSY1-RTL15A-1CKA11")</f>
        <v>SSY1-RTL15A-1CKA11</v>
      </c>
      <c r="D164" s="4" t="str">
        <f ca="1">IFERROR(__xludf.DUMMYFUNCTION("""COMPUTED_VALUE"""),"Продление подписки на обновления Mobile SMARTS: Магазин 15, БАЗОВЫЙ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Комплексная автоматизация 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4" s="4" t="str">
        <f ca="1">IFERROR(__xludf.DUMMYFUNCTION("""COMPUTED_VALUE"""),"Продление подписки на обновления Mobile SMARTS: Магазин 15, БАЗОВЫЙ для «1С: Комплексная автоматизация 1.1», для работы с товаром по штрихкодам  на 1 (один) год")</f>
        <v>Продление подписки на обновления Mobile SMARTS: Магазин 15, БАЗОВЫЙ для «1С: Комплексная автоматизация 1.1», для работы с товаром по штрихкодам  на 1 (один) год</v>
      </c>
      <c r="F164" s="5">
        <f ca="1">IFERROR(__xludf.DUMMYFUNCTION("""COMPUTED_VALUE"""),1730)</f>
        <v>1730</v>
      </c>
    </row>
    <row r="165" spans="1:6" ht="72" customHeight="1" x14ac:dyDescent="0.2">
      <c r="A165" s="4" t="str">
        <f ca="1">IFERROR(__xludf.DUMMYFUNCTION("""COMPUTED_VALUE"""),"«1С: Комплексная автоматизация 1.1»")</f>
        <v>«1С: Комплексная автоматизация 1.1»</v>
      </c>
      <c r="B165" s="4" t="str">
        <f ca="1">IFERROR(__xludf.DUMMYFUNCTION("""COMPUTED_VALUE"""),"РАСШИРЕННЫЙ")</f>
        <v>РАСШИРЕННЫЙ</v>
      </c>
      <c r="C165" s="4" t="str">
        <f ca="1">IFERROR(__xludf.DUMMYFUNCTION("""COMPUTED_VALUE"""),"SSY1-RTL15B-1CKA11")</f>
        <v>SSY1-RTL15B-1CKA11</v>
      </c>
      <c r="D165" s="4" t="str">
        <f ca="1">IFERROR(__xludf.DUMMYFUNCTION("""COMPUTED_VALUE"""),"Продление подписки на обновления Mobile SMARTS: Магазин 15, РАСШИРЕННЫЙ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поступление"&amp;",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5" s="4" t="str">
        <f ca="1">IFERROR(__xludf.DUMMYFUNCTION("""COMPUTED_VALUE"""),"Продление подписки на обновления Mobile SMARTS: Магазин 15, РАСШИРЕННЫЙ для «1С: Комплексная автоматизация 1.1», для работы с товаром по штрихкодам  на 1 (один) год")</f>
        <v>Продление подписки на обновления Mobile SMARTS: Магазин 15, РАСШИРЕННЫЙ для «1С: Комплексная автоматизация 1.1», для работы с товаром по штрихкодам  на 1 (один) год</v>
      </c>
      <c r="F165" s="5">
        <f ca="1">IFERROR(__xludf.DUMMYFUNCTION("""COMPUTED_VALUE"""),3010)</f>
        <v>3010</v>
      </c>
    </row>
    <row r="166" spans="1:6" ht="72" customHeight="1" x14ac:dyDescent="0.2">
      <c r="A166" s="4" t="str">
        <f ca="1">IFERROR(__xludf.DUMMYFUNCTION("""COMPUTED_VALUE"""),"«1С: Комплексная автоматизация 1.1»")</f>
        <v>«1С: Комплексная автоматизация 1.1»</v>
      </c>
      <c r="B166" s="4" t="str">
        <f ca="1">IFERROR(__xludf.DUMMYFUNCTION("""COMPUTED_VALUE"""),"МЕГАМАРКЕТ")</f>
        <v>МЕГАМАРКЕТ</v>
      </c>
      <c r="C166" s="4" t="str">
        <f ca="1">IFERROR(__xludf.DUMMYFUNCTION("""COMPUTED_VALUE"""),"SSY1-RTL15C-1CKA11")</f>
        <v>SSY1-RTL15C-1CKA11</v>
      </c>
      <c r="D166" s="4" t="str">
        <f ca="1">IFERROR(__xludf.DUMMYFUNCTION("""COMPUTED_VALUE"""),"Продление подписки на обновления Mobile SMARTS: Магазин 15, МЕГАМАРКЕТ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Комплексная автоматизация 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6" s="4" t="str">
        <f ca="1">IFERROR(__xludf.DUMMYFUNCTION("""COMPUTED_VALUE"""),"Продление подписки на обновления Mobile SMARTS: Магазин 15, МЕГАМАРКЕТ для «1С: Комплексная автоматизация 1.1», для работы с товаром по штрихкодам  на 1 (один) год")</f>
        <v>Продление подписки на обновления Mobile SMARTS: Магазин 15, МЕГАМАРКЕТ для «1С: Комплексная автоматизация 1.1», для работы с товаром по штрихкодам  на 1 (один) год</v>
      </c>
      <c r="F166" s="5">
        <f ca="1">IFERROR(__xludf.DUMMYFUNCTION("""COMPUTED_VALUE"""),4310)</f>
        <v>4310</v>
      </c>
    </row>
    <row r="167" spans="1:6" ht="72" customHeight="1" x14ac:dyDescent="0.2">
      <c r="A167" s="4" t="str">
        <f ca="1">IFERROR(__xludf.DUMMYFUNCTION("""COMPUTED_VALUE"""),"«1С: Комплексная автоматизация 1.1»")</f>
        <v>«1С: Комплексная автоматизация 1.1»</v>
      </c>
      <c r="B167" s="4" t="str">
        <f ca="1">IFERROR(__xludf.DUMMYFUNCTION("""COMPUTED_VALUE"""),"с ЕГАИС, БАЗОВЫЙ")</f>
        <v>с ЕГАИС, БАЗОВЫЙ</v>
      </c>
      <c r="C167" s="4" t="str">
        <f ca="1">IFERROR(__xludf.DUMMYFUNCTION("""COMPUTED_VALUE"""),"SSY1-RTL15AE-1CKA11")</f>
        <v>SSY1-RTL15AE-1CKA11</v>
      </c>
      <c r="D167" s="4" t="str">
        <f ca="1">IFERROR(__xludf.DUMMYFUNCTION("""COMPUTED_VALUE"""),"Продление подписки на обновления 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штри"&amp;"хкодам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сбор"&amp;"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лиценз"&amp;"ия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67" s="4" t="str">
        <f ca="1">IFERROR(__xludf.DUMMYFUNCTION("""COMPUTED_VALUE"""),"Продление подписки на обновления 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штри"&amp;"хкодам  на 1 (один) год")</f>
        <v>Продление подписки на обновления Mobile SMARTS: Магазин 15 с ЕГАИС, БАЗОВЫЙ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167" s="5">
        <f ca="1">IFERROR(__xludf.DUMMYFUNCTION("""COMPUTED_VALUE"""),2600)</f>
        <v>2600</v>
      </c>
    </row>
    <row r="168" spans="1:6" ht="72" customHeight="1" x14ac:dyDescent="0.2">
      <c r="A168" s="4" t="str">
        <f ca="1">IFERROR(__xludf.DUMMYFUNCTION("""COMPUTED_VALUE"""),"«1С: Комплексная автоматизация 1.1»")</f>
        <v>«1С: Комплексная автоматизация 1.1»</v>
      </c>
      <c r="B168" s="4" t="str">
        <f ca="1">IFERROR(__xludf.DUMMYFUNCTION("""COMPUTED_VALUE"""),"с ЕГАИС, РАСШИРЕННЫЙ")</f>
        <v>с ЕГАИС, РАСШИРЕННЫЙ</v>
      </c>
      <c r="C168" s="4" t="str">
        <f ca="1">IFERROR(__xludf.DUMMYFUNCTION("""COMPUTED_VALUE"""),"SSY1-RTL15BE-1CKA11")</f>
        <v>SSY1-RTL15BE-1CKA11</v>
      </c>
      <c r="D168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"&amp;"штрихкодам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"&amp;"сбор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(о"&amp;"дно) моб. устройство, подписка на обновления и обмен через Интернет на 1 (один) год")</f>
        <v>Продление подписки на обновления 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8" s="4" t="str">
        <f ca="1">IFERROR(__xludf.DUMMYFUNCTION("""COMPUTED_VALUE"""),"Продление подписки на обновления 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"&amp;"штрихкодам  на 1 (один) год")</f>
        <v>Продление подписки на обновления Mobile SMARTS: Магазин 15 с ЕГАИС, РАСШИРЕННЫЙ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168" s="5">
        <f ca="1">IFERROR(__xludf.DUMMYFUNCTION("""COMPUTED_VALUE"""),3890)</f>
        <v>3890</v>
      </c>
    </row>
    <row r="169" spans="1:6" ht="72" customHeight="1" x14ac:dyDescent="0.2">
      <c r="A169" s="4" t="str">
        <f ca="1">IFERROR(__xludf.DUMMYFUNCTION("""COMPUTED_VALUE"""),"«1С: Комплексная автоматизация 1.1»")</f>
        <v>«1С: Комплексная автоматизация 1.1»</v>
      </c>
      <c r="B169" s="4" t="str">
        <f ca="1">IFERROR(__xludf.DUMMYFUNCTION("""COMPUTED_VALUE"""),"с ЕГАИС (без CheckMark2), МЕГАМАРКЕТ")</f>
        <v>с ЕГАИС (без CheckMark2), МЕГАМАРКЕТ</v>
      </c>
      <c r="C169" s="4" t="str">
        <f ca="1">IFERROR(__xludf.DUMMYFUNCTION("""COMPUTED_VALUE"""),"SSY1-RTL15CEV-1CKA11")</f>
        <v>SSY1-RTL15CEV-1CKA11</v>
      </c>
      <c r="D169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ЕГ"&amp;"АИС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"&amp;"инвентаризация,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возможност"&amp;"ь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69" s="4" t="str">
        <f ca="1">IFERROR(__xludf.DUMMYFUNCTION("""COMPUTED_VALUE"""),"Продление подписки на обновления 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ЕГ"&amp;"АИС и товары по штрихкодам  на 1 (один) год")</f>
        <v>Продление подписки на обновления Mobile SMARTS: Магазин 15 с ЕГАИС (без CheckMark2), МЕГАМАРКЕТ для «1С: Комплексная автоматизация 1.1»,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169" s="5">
        <f ca="1">IFERROR(__xludf.DUMMYFUNCTION("""COMPUTED_VALUE"""),5170)</f>
        <v>5170</v>
      </c>
    </row>
    <row r="170" spans="1:6" ht="72" customHeight="1" x14ac:dyDescent="0.2">
      <c r="A170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0" s="4" t="str">
        <f ca="1">IFERROR(__xludf.DUMMYFUNCTION("""COMPUTED_VALUE"""),"МИНИМУМ")</f>
        <v>МИНИМУМ</v>
      </c>
      <c r="C170" s="4" t="str">
        <f ca="1">IFERROR(__xludf.DUMMYFUNCTION("""COMPUTED_VALUE"""),"SSY1-RTL15M-1CUPP13")</f>
        <v>SSY1-RTL15M-1CUPP13</v>
      </c>
      <c r="D170" s="4" t="str">
        <f ca="1">IFERROR(__xludf.DUMMYFUNCTION("""COMPUTED_VALUE"""),"Продление подписки на обновления Mobile SMARTS: Магазин 15, МИНИМУМ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дост"&amp;"упные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ус"&amp;"тройство, подписка на обновления и обмен через Интернет на 1 (один) год")</f>
        <v>Продление подписки на обновления Mobile SMARTS: Магазин 15, МИНИМУМ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70" s="4" t="str">
        <f ca="1">IFERROR(__xludf.DUMMYFUNCTION("""COMPUTED_VALUE"""),"Продление подписки на обновления Mobile SMARTS: Магазин 15, МИНИМУМ для «1С: Управление производственным предприятием 1.3» (Обычные формы), для работы с товаром по штрихкодам  на 1 (один) год")</f>
        <v>Продление подписки на обновления Mobile SMARTS: Магазин 15, МИНИМУМ для «1С: Управление производственным предприятием 1.3» (Обычные формы), для работы с товаром по штрихкодам  на 1 (один) год</v>
      </c>
      <c r="F170" s="5">
        <f ca="1">IFERROR(__xludf.DUMMYFUNCTION("""COMPUTED_VALUE"""),690)</f>
        <v>690</v>
      </c>
    </row>
    <row r="171" spans="1:6" ht="72" customHeight="1" x14ac:dyDescent="0.2">
      <c r="A171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1" s="4" t="str">
        <f ca="1">IFERROR(__xludf.DUMMYFUNCTION("""COMPUTED_VALUE"""),"БАЗОВЫЙ")</f>
        <v>БАЗОВЫЙ</v>
      </c>
      <c r="C171" s="4" t="str">
        <f ca="1">IFERROR(__xludf.DUMMYFUNCTION("""COMPUTED_VALUE"""),"SSY1-RTL15A-1CUPP13")</f>
        <v>SSY1-RTL15A-1CUPP13</v>
      </c>
      <c r="D171" s="4" t="str">
        <f ca="1">IFERROR(__xludf.DUMMYFUNCTION("""COMPUTED_VALUE"""),"Продление подписки на обновления Mobile SMARTS: Магазин 15, БАЗОВЫЙ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дост"&amp;"упные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склада"&amp;"х,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1" s="4" t="str">
        <f ca="1">IFERROR(__xludf.DUMMYFUNCTION("""COMPUTED_VALUE"""),"Продление подписки на обновления Mobile SMARTS: Магазин 15, БАЗОВЫЙ для «1С: Управление производственным предприятием 1.3» (Обычные формы), для работы с товаром по штрихкодам  на 1 (один) год")</f>
        <v>Продление подписки на обновления Mobile SMARTS: Магазин 15, БАЗОВЫЙ для «1С: Управление производственным предприятием 1.3» (Обычные формы), для работы с товаром по штрихкодам  на 1 (один) год</v>
      </c>
      <c r="F171" s="5">
        <f ca="1">IFERROR(__xludf.DUMMYFUNCTION("""COMPUTED_VALUE"""),1730)</f>
        <v>1730</v>
      </c>
    </row>
    <row r="172" spans="1:6" ht="72" customHeight="1" x14ac:dyDescent="0.2">
      <c r="A172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2" s="4" t="str">
        <f ca="1">IFERROR(__xludf.DUMMYFUNCTION("""COMPUTED_VALUE"""),"РАСШИРЕННЫЙ")</f>
        <v>РАСШИРЕННЫЙ</v>
      </c>
      <c r="C172" s="4" t="str">
        <f ca="1">IFERROR(__xludf.DUMMYFUNCTION("""COMPUTED_VALUE"""),"SSY1-RTL15B-1CUPP13")</f>
        <v>SSY1-RTL15B-1CUPP13</v>
      </c>
      <c r="D172" s="4" t="str">
        <f ca="1">IFERROR(__xludf.DUMMYFUNCTION("""COMPUTED_VALUE"""),"Продление подписки на обновления Mobile SMARTS: Магазин 15, РАСШИРЕННЫЙ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"&amp;"доступные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ск"&amp;"ладах,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2" s="4" t="str">
        <f ca="1">IFERROR(__xludf.DUMMYFUNCTION("""COMPUTED_VALUE"""),"Продление подписки на обновления Mobile SMARTS: Магазин 15, РАСШИРЕННЫЙ для «1С: Управление производственным предприятием 1.3» (Обычные формы), для работы с товаром по штрихкодам  на 1 (один) год")</f>
        <v>Продление подписки на обновления Mobile SMARTS: Магазин 15, РАСШИРЕННЫЙ для «1С: Управление производственным предприятием 1.3» (Обычные формы), для работы с товаром по штрихкодам  на 1 (один) год</v>
      </c>
      <c r="F172" s="5">
        <f ca="1">IFERROR(__xludf.DUMMYFUNCTION("""COMPUTED_VALUE"""),3010)</f>
        <v>3010</v>
      </c>
    </row>
    <row r="173" spans="1:6" ht="72" customHeight="1" x14ac:dyDescent="0.2">
      <c r="A173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3" s="4" t="str">
        <f ca="1">IFERROR(__xludf.DUMMYFUNCTION("""COMPUTED_VALUE"""),"МЕГАМАРКЕТ")</f>
        <v>МЕГАМАРКЕТ</v>
      </c>
      <c r="C173" s="4" t="str">
        <f ca="1">IFERROR(__xludf.DUMMYFUNCTION("""COMPUTED_VALUE"""),"SSY1-RTL15C-1CUPP13")</f>
        <v>SSY1-RTL15C-1CUPP13</v>
      </c>
      <c r="D173" s="4" t="str">
        <f ca="1">IFERROR(__xludf.DUMMYFUNCTION("""COMPUTED_VALUE"""),"Продление подписки на обновления Mobile SMARTS: Магазин 15, МЕГАМАРКЕТ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д"&amp;"оступные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инф"&amp;"ормация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производственным предприятием 1.3» (Обычные формы),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3" s="4" t="str">
        <f ca="1">IFERROR(__xludf.DUMMYFUNCTION("""COMPUTED_VALUE"""),"Продление подписки на обновления Mobile SMARTS: Магазин 15, МЕГАМАРКЕТ для «1С: Управление производственным предприятием 1.3» (Обычные формы), для работы с товаром по штрихкодам  на 1 (один) год")</f>
        <v>Продление подписки на обновления Mobile SMARTS: Магазин 15, МЕГАМАРКЕТ для «1С: Управление производственным предприятием 1.3» (Обычные формы), для работы с товаром по штрихкодам  на 1 (один) год</v>
      </c>
      <c r="F173" s="5">
        <f ca="1">IFERROR(__xludf.DUMMYFUNCTION("""COMPUTED_VALUE"""),4310)</f>
        <v>4310</v>
      </c>
    </row>
    <row r="174" spans="1:6" ht="72" customHeight="1" x14ac:dyDescent="0.2">
      <c r="A174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4" s="4" t="str">
        <f ca="1">IFERROR(__xludf.DUMMYFUNCTION("""COMPUTED_VALUE"""),"с ЕГАИС, БАЗОВЫЙ")</f>
        <v>с ЕГАИС, БАЗОВЫЙ</v>
      </c>
      <c r="C174" s="4" t="str">
        <f ca="1">IFERROR(__xludf.DUMMYFUNCTION("""COMPUTED_VALUE"""),"SSY1-RTL15AE-1CUPP13")</f>
        <v>SSY1-RTL15AE-1CUPP13</v>
      </c>
      <c r="D174" s="4" t="str">
        <f ca="1">IFERROR(__xludf.DUMMYFUNCTION("""COMPUTED_VALUE"""),"Продление подписки на обновления 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"&amp;"алкоголь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п"&amp;"ереоценка,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св"&amp;"ои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74" s="4" t="str">
        <f ca="1">IFERROR(__xludf.DUMMYFUNCTION("""COMPUTED_VALUE"""),"Продление подписки на обновления 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"&amp;"алкоголь ЕГАИС и товары по штрихкодам  на 1 (один) год")</f>
        <v>Продление подписки на обновления Mobile SMARTS: Магазин 15 с ЕГАИС, БАЗОВЫЙ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174" s="5">
        <f ca="1">IFERROR(__xludf.DUMMYFUNCTION("""COMPUTED_VALUE"""),2600)</f>
        <v>2600</v>
      </c>
    </row>
    <row r="175" spans="1:6" ht="72" customHeight="1" x14ac:dyDescent="0.2">
      <c r="A175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5" s="4" t="str">
        <f ca="1">IFERROR(__xludf.DUMMYFUNCTION("""COMPUTED_VALUE"""),"с ЕГАИС, РАСШИРЕННЫЙ")</f>
        <v>с ЕГАИС, РАСШИРЕННЫЙ</v>
      </c>
      <c r="C175" s="4" t="str">
        <f ca="1">IFERROR(__xludf.DUMMYFUNCTION("""COMPUTED_VALUE"""),"SSY1-RTL15BE-1CUPP13")</f>
        <v>SSY1-RTL15BE-1CUPP13</v>
      </c>
      <c r="D175" s="4" t="str">
        <f ca="1">IFERROR(__xludf.DUMMYFUNCTION("""COMPUTED_VALUE"""),"Продление подписки на обновления 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товар"&amp;"ом: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перемещени"&amp;"е,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операци"&amp;"и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5" s="4" t="str">
        <f ca="1">IFERROR(__xludf.DUMMYFUNCTION("""COMPUTED_VALUE"""),"Продление подписки на обновления 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товар"&amp;"ом: алкоголь ЕГАИС и товары по штрихкодам  на 1 (один) год")</f>
        <v>Продление подписки на обновления Mobile SMARTS: Магазин 15 с ЕГАИС, РАСШИРЕННЫЙ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175" s="5">
        <f ca="1">IFERROR(__xludf.DUMMYFUNCTION("""COMPUTED_VALUE"""),3890)</f>
        <v>3890</v>
      </c>
    </row>
    <row r="176" spans="1:6" ht="72" customHeight="1" x14ac:dyDescent="0.2">
      <c r="A176" s="4" t="str">
        <f ca="1">IFERROR(__xludf.DUMMYFUNCTION("""COMPUTED_VALUE"""),"«1С: Управление производственным предприятием 1.3» (Обычные формы)")</f>
        <v>«1С: Управление производственным предприятием 1.3» (Обычные формы)</v>
      </c>
      <c r="B176" s="4" t="str">
        <f ca="1">IFERROR(__xludf.DUMMYFUNCTION("""COMPUTED_VALUE"""),"с ЕГАИС (без CheckMark2), МЕГАМАРКЕТ")</f>
        <v>с ЕГАИС (без CheckMark2), МЕГАМАРКЕТ</v>
      </c>
      <c r="C176" s="4" t="str">
        <f ca="1">IFERROR(__xludf.DUMMYFUNCTION("""COMPUTED_VALUE"""),"SSY1-RTL15CEV-1CUPP13")</f>
        <v>SSY1-RTL15CEV-1CUPP13</v>
      </c>
      <c r="D176" s="4" t="str">
        <f ca="1">IFERROR(__xludf.DUMMYFUNCTION("""COMPUTED_VALUE"""),"Продление подписки на обновления 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мар"&amp;"кированным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воз"&amp;"врат,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сущ"&amp;"ествующих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6" s="4" t="str">
        <f ca="1">IFERROR(__xludf.DUMMYFUNCTION("""COMPUTED_VALUE"""),"Продление подписки на обновления 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мар"&amp;"кированным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Управление производственным предприятием 1.3» (Обычные формы),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176" s="5">
        <f ca="1">IFERROR(__xludf.DUMMYFUNCTION("""COMPUTED_VALUE"""),5170)</f>
        <v>5170</v>
      </c>
    </row>
    <row r="177" spans="1:6" ht="72" customHeight="1" x14ac:dyDescent="0.2">
      <c r="A177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77" s="4" t="str">
        <f ca="1">IFERROR(__xludf.DUMMYFUNCTION("""COMPUTED_VALUE"""),"с МОТП, БАЗОВЫЙ")</f>
        <v>с МОТП, БАЗОВЫЙ</v>
      </c>
      <c r="C177" s="4" t="str">
        <f ca="1">IFERROR(__xludf.DUMMYFUNCTION("""COMPUTED_VALUE"""),"SSY1-RTL15AT-1CUPP13")</f>
        <v>SSY1-RTL15AT-1CUPP13</v>
      </c>
      <c r="D177" s="4" t="str">
        <f ca="1">IFERROR(__xludf.DUMMYFUNCTION("""COMPUTED_VALUE"""),"Продление подписки на обновления 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"&amp;"обмен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"&amp;"справочников,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под"&amp;"писка на обновления и обмен через Интернет на 1 (один) год")</f>
        <v>Продление подписки на обновления 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7" s="4" t="str">
        <f ca="1">IFERROR(__xludf.DUMMYFUNCTION("""COMPUTED_VALUE"""),"Продление подписки на обновления 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Управление производственным предприятием 1.3.134» (Обычные формы), для работы с маркированным товаром: ТАБАК и товары по штрихкодам  на 1 (один) год</v>
      </c>
      <c r="F177" s="5">
        <f ca="1">IFERROR(__xludf.DUMMYFUNCTION("""COMPUTED_VALUE"""),2230)</f>
        <v>2230</v>
      </c>
    </row>
    <row r="178" spans="1:6" ht="72" customHeight="1" x14ac:dyDescent="0.2">
      <c r="A178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78" s="4" t="str">
        <f ca="1">IFERROR(__xludf.DUMMYFUNCTION("""COMPUTED_VALUE"""),"с МОТП, РАСШИРЕННЫЙ")</f>
        <v>с МОТП, РАСШИРЕННЫЙ</v>
      </c>
      <c r="C178" s="4" t="str">
        <f ca="1">IFERROR(__xludf.DUMMYFUNCTION("""COMPUTED_VALUE"""),"SSY1-RTL15BT-1CUPP13")</f>
        <v>SSY1-RTL15BT-1CUPP13</v>
      </c>
      <c r="D178" s="4" t="str">
        <f ca="1">IFERROR(__xludf.DUMMYFUNCTION("""COMPUTED_VALUE"""),"Продление подписки на обновления 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"&amp;"или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просм"&amp;"отр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устройство,"&amp;" подписка на обновления и обмен через Интернет на 1 (один) год")</f>
        <v>Продление подписки на обновления 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8" s="4" t="str">
        <f ca="1">IFERROR(__xludf.DUMMYFUNCTION("""COMPUTED_VALUE"""),"Продление подписки на обновления 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Управление производственным предприятием 1.3.134» (Обычные формы), для работы с маркированным товаром: ТАБАК и товары по штрихкодам  на 1 (один) год</v>
      </c>
      <c r="F178" s="5">
        <f ca="1">IFERROR(__xludf.DUMMYFUNCTION("""COMPUTED_VALUE"""),3490)</f>
        <v>3490</v>
      </c>
    </row>
    <row r="179" spans="1:6" ht="72" customHeight="1" x14ac:dyDescent="0.2">
      <c r="A179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79" s="4" t="str">
        <f ca="1">IFERROR(__xludf.DUMMYFUNCTION("""COMPUTED_VALUE"""),"с МОТП, МЕГАМАРКЕТ")</f>
        <v>с МОТП, МЕГАМАРКЕТ</v>
      </c>
      <c r="C179" s="4" t="str">
        <f ca="1">IFERROR(__xludf.DUMMYFUNCTION("""COMPUTED_VALUE"""),"SSY1-RTL15CT-1CUPP13")</f>
        <v>SSY1-RTL15CT-1CUPP13</v>
      </c>
      <c r="D179" s="4" t="str">
        <f ca="1">IFERROR(__xludf.DUMMYFUNCTION("""COMPUTED_VALUE"""),"Продление подписки на обновления 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и"&amp;"ли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просмо"&amp;"тр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(од"&amp;"но) моб. устройство, подписка на обновления и обмен через Интернет на 1 (один) год")</f>
        <v>Продление подписки на обновления 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79" s="4" t="str">
        <f ca="1">IFERROR(__xludf.DUMMYFUNCTION("""COMPUTED_VALUE"""),"Продление подписки на обновления 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Управление производственным предприятием 1.3.134» (Обычные формы), для работы с маркированным товаром: ТАБАК и товары по штрихкодам  на 1 (один) год</v>
      </c>
      <c r="F179" s="5">
        <f ca="1">IFERROR(__xludf.DUMMYFUNCTION("""COMPUTED_VALUE"""),4770)</f>
        <v>4770</v>
      </c>
    </row>
    <row r="180" spans="1:6" ht="72" customHeight="1" x14ac:dyDescent="0.2">
      <c r="A180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0" s="4" t="str">
        <f ca="1">IFERROR(__xludf.DUMMYFUNCTION("""COMPUTED_VALUE"""),"с ЕГАИС и МОТП, БАЗОВЫЙ")</f>
        <v>с ЕГАИС и МОТП, БАЗОВЫЙ</v>
      </c>
      <c r="C180" s="4" t="str">
        <f ca="1">IFERROR(__xludf.DUMMYFUNCTION("""COMPUTED_VALUE"""),"SSY1-RTL15AET-1CUPP13")</f>
        <v>SSY1-RTL15AET-1CUPP13</v>
      </c>
      <c r="D180" s="4" t="str">
        <f ca="1">IFERROR(__xludf.DUMMYFUNCTION("""COMPUTED_VALUE"""),"Продление подписки на обновления 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проводной,"&amp;"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списание,"&amp;"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0" s="4" t="str">
        <f ca="1">IFERROR(__xludf.DUMMYFUNCTION("""COMPUTED_VALUE"""),"Продление подписки на обновления 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Управление производственным предприятием 1.3.134» (Обычные формы), для работы с маркированным товаром: АЛКОГОЛЬ, ТАБАК и товары по штрихкодам  на 1 (один) год</v>
      </c>
      <c r="F180" s="5">
        <f ca="1">IFERROR(__xludf.DUMMYFUNCTION("""COMPUTED_VALUE"""),2430)</f>
        <v>2430</v>
      </c>
    </row>
    <row r="181" spans="1:6" ht="72" customHeight="1" x14ac:dyDescent="0.2">
      <c r="A181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1" s="4" t="str">
        <f ca="1">IFERROR(__xludf.DUMMYFUNCTION("""COMPUTED_VALUE"""),"с ЕГАИС и МОТП, РАСШИРЕННЫЙ")</f>
        <v>с ЕГАИС и МОТП, РАСШИРЕННЫЙ</v>
      </c>
      <c r="C181" s="4" t="str">
        <f ca="1">IFERROR(__xludf.DUMMYFUNCTION("""COMPUTED_VALUE"""),"SSY1-RTL15BET-1CUPP13")</f>
        <v>SSY1-RTL15BET-1CUPP13</v>
      </c>
      <c r="D181" s="4" t="str">
        <f ca="1">IFERROR(__xludf.DUMMYFUNCTION("""COMPUTED_VALUE"""),"Продление подписки на обновления 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провод"&amp;"ной,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списа"&amp;"ние,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1" s="4" t="str">
        <f ca="1">IFERROR(__xludf.DUMMYFUNCTION("""COMPUTED_VALUE"""),"Продление подписки на обновления 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Управление производственным предприятием 1.3.134» (Обычные формы), для работы с маркированным товаром: АЛКОГОЛЬ, ТАБАК и товары по штрихкодам  на 1 (один) год</v>
      </c>
      <c r="F181" s="5">
        <f ca="1">IFERROR(__xludf.DUMMYFUNCTION("""COMPUTED_VALUE"""),3710)</f>
        <v>3710</v>
      </c>
    </row>
    <row r="182" spans="1:6" ht="72" customHeight="1" x14ac:dyDescent="0.2">
      <c r="A182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2" s="4" t="str">
        <f ca="1">IFERROR(__xludf.DUMMYFUNCTION("""COMPUTED_VALUE"""),"с ЕГАИС и МОТП, МЕГАМАРКЕТ")</f>
        <v>с ЕГАИС и МОТП, МЕГАМАРКЕТ</v>
      </c>
      <c r="C182" s="4" t="str">
        <f ca="1">IFERROR(__xludf.DUMMYFUNCTION("""COMPUTED_VALUE"""),"SSY1-RTL15CET-1CUPP13")</f>
        <v>SSY1-RTL15CET-1CUPP13</v>
      </c>
      <c r="D182" s="4" t="str">
        <f ca="1">IFERROR(__xludf.DUMMYFUNCTION("""COMPUTED_VALUE"""),"Продление подписки на обновления 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проводн"&amp;"ой,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списан"&amp;"ие,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т"&amp;"оваре,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2" s="4" t="str">
        <f ca="1">IFERROR(__xludf.DUMMYFUNCTION("""COMPUTED_VALUE"""),"Продление подписки на обновления 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Управление производственным предприятием 1.3.134» (Обычные формы), для работы с маркированным товаром: АЛКОГОЛЬ, ТАБАК и товары по штрихкодам  на 1 (один) год</v>
      </c>
      <c r="F182" s="5">
        <f ca="1">IFERROR(__xludf.DUMMYFUNCTION("""COMPUTED_VALUE"""),5270)</f>
        <v>5270</v>
      </c>
    </row>
    <row r="183" spans="1:6" ht="72" customHeight="1" x14ac:dyDescent="0.2">
      <c r="A183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3" s="4" t="str">
        <f ca="1">IFERROR(__xludf.DUMMYFUNCTION("""COMPUTED_VALUE"""),"ШМОТКИ, БАЗОВЫЙ")</f>
        <v>ШМОТКИ, БАЗОВЫЙ</v>
      </c>
      <c r="C183" s="4" t="str">
        <f ca="1">IFERROR(__xludf.DUMMYFUNCTION("""COMPUTED_VALUE"""),"SSY1-RTL15AK-1CUPP13")</f>
        <v>SSY1-RTL15AK-1CUPP13</v>
      </c>
      <c r="D183" s="4" t="str">
        <f ca="1">IFERROR(__xludf.DUMMYFUNCTION("""COMPUTED_VALUE"""),"Продление подписки на обновления 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провод"&amp;"ной,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(одно"&amp;") моб. устройство, подписка на обновления и обмен через Интернет на 1 (один) год")</f>
        <v>Продление подписки на обновления 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3" s="4" t="str">
        <f ca="1">IFERROR(__xludf.DUMMYFUNCTION("""COMPUTED_VALUE"""),"Продление подписки на обновления 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 на 1 (один) год</v>
      </c>
      <c r="F183" s="5">
        <f ca="1">IFERROR(__xludf.DUMMYFUNCTION("""COMPUTED_VALUE"""),2430)</f>
        <v>2430</v>
      </c>
    </row>
    <row r="184" spans="1:6" ht="72" customHeight="1" x14ac:dyDescent="0.2">
      <c r="A184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4" s="4" t="str">
        <f ca="1">IFERROR(__xludf.DUMMYFUNCTION("""COMPUTED_VALUE"""),"ШМОТКИ, РАСШИРЕННЫЙ")</f>
        <v>ШМОТКИ, РАСШИРЕННЫЙ</v>
      </c>
      <c r="C184" s="4" t="str">
        <f ca="1">IFERROR(__xludf.DUMMYFUNCTION("""COMPUTED_VALUE"""),"SSY1-RTL15BK-1CUPP13")</f>
        <v>SSY1-RTL15BK-1CUPP13</v>
      </c>
      <c r="D184" s="4" t="str">
        <f ca="1">IFERROR(__xludf.DUMMYFUNCTION("""COMPUTED_VALUE"""),"Продление подписки на обновления 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пр"&amp;"оводной,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"&amp;"сбор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("&amp;"одно) моб. устройство, подписка на обновления и обмен через Интернет на 1 (один) год")</f>
        <v>Продление подписки на обновления 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4" s="4" t="str">
        <f ca="1">IFERROR(__xludf.DUMMYFUNCTION("""COMPUTED_VALUE"""),"Продление подписки на обновления 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 на 1 (один) "&amp;"год")</f>
        <v>Продление подписки на обновления Mobile SMARTS: Магазин 15 ШМОТКИ, РАСШИРЕННЫЙ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 на 1 (один) год</v>
      </c>
      <c r="F184" s="5">
        <f ca="1">IFERROR(__xludf.DUMMYFUNCTION("""COMPUTED_VALUE"""),3710)</f>
        <v>3710</v>
      </c>
    </row>
    <row r="185" spans="1:6" ht="72" customHeight="1" x14ac:dyDescent="0.2">
      <c r="A185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5" s="4" t="str">
        <f ca="1">IFERROR(__xludf.DUMMYFUNCTION("""COMPUTED_VALUE"""),"ШМОТКИ, МЕГАМАРКЕТ")</f>
        <v>ШМОТКИ, МЕГАМАРКЕТ</v>
      </c>
      <c r="C185" s="4" t="str">
        <f ca="1">IFERROR(__xludf.DUMMYFUNCTION("""COMPUTED_VALUE"""),"SSY1-RTL15CK-1CUPP13")</f>
        <v>SSY1-RTL15CK-1CUPP13</v>
      </c>
      <c r="D185" s="4" t="str">
        <f ca="1">IFERROR(__xludf.DUMMYFUNCTION("""COMPUTED_VALUE"""),"Продление подписки на обновления 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про"&amp;"водной,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5" s="4" t="str">
        <f ca="1">IFERROR(__xludf.DUMMYFUNCTION("""COMPUTED_VALUE"""),"Продление подписки на обновления 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 на 1 (один) г"&amp;"од")</f>
        <v>Продление подписки на обновления Mobile SMARTS: Магазин 15 ШМОТКИ, МЕГАМАРКЕТ для «1С: Управление производственным предприятием 1.3.134» (Обычные формы), для работы с маркированным товаром: ОБУВЬ, ОДЕЖДА, ПАРФЮМ, ШИНЫ и товары по штрихкодам  на 1 (один) год</v>
      </c>
      <c r="F185" s="5">
        <f ca="1">IFERROR(__xludf.DUMMYFUNCTION("""COMPUTED_VALUE"""),5270)</f>
        <v>5270</v>
      </c>
    </row>
    <row r="186" spans="1:6" ht="72" customHeight="1" x14ac:dyDescent="0.2">
      <c r="A186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6" s="4" t="str">
        <f ca="1">IFERROR(__xludf.DUMMYFUNCTION("""COMPUTED_VALUE"""),"ПРОДУКТОВЫЙ, БАЗОВЫЙ")</f>
        <v>ПРОДУКТОВЫЙ, БАЗОВЫЙ</v>
      </c>
      <c r="C186" s="4" t="str">
        <f ca="1">IFERROR(__xludf.DUMMYFUNCTION("""COMPUTED_VALUE"""),"SSY1-RTL15AG-1CUPP13")</f>
        <v>SSY1-RTL15AG-1CUPP13</v>
      </c>
      <c r="D186" s="4" t="str">
        <f ca="1">IFERROR(__xludf.DUMMYFUNCTION("""COMPUTED_VALUE"""),"Продление подписки на обновления 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"&amp;"и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возмож"&amp;"ности: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(од"&amp;"ин) год")</f>
        <v>Продление подписки на обновления 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6" s="4" t="str">
        <f ca="1">IFERROR(__xludf.DUMMYFUNCTION("""COMPUTED_VALUE"""),"Продление подписки на обновления 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"&amp;"и товаром по штрихкодам  на 1 (один) год")</f>
        <v>Продление подписки на обновления Mobile SMARTS: Магазин 15 ПРОДУКТОВЫЙ, БАЗОВЫЙ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 на 1 (один) год</v>
      </c>
      <c r="F186" s="5">
        <f ca="1">IFERROR(__xludf.DUMMYFUNCTION("""COMPUTED_VALUE"""),2910)</f>
        <v>2910</v>
      </c>
    </row>
    <row r="187" spans="1:6" ht="72" customHeight="1" x14ac:dyDescent="0.2">
      <c r="A187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7" s="4" t="str">
        <f ca="1">IFERROR(__xludf.DUMMYFUNCTION("""COMPUTED_VALUE"""),"ПРОДУКТОВЫЙ, РАСШИРЕННЫЙ")</f>
        <v>ПРОДУКТОВЫЙ, РАСШИРЕННЫЙ</v>
      </c>
      <c r="C187" s="4" t="str">
        <f ca="1">IFERROR(__xludf.DUMMYFUNCTION("""COMPUTED_VALUE"""),"SSY1-RTL15BG-1CUPP13")</f>
        <v>SSY1-RTL15BG-1CUPP13</v>
      </c>
      <c r="D187" s="4" t="str">
        <f ca="1">IFERROR(__xludf.DUMMYFUNCTION("""COMPUTED_VALUE"""),"Продление подписки на обновления 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Ш"&amp;"ИНЫ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("&amp;"в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Продление подписки на обновления 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7" s="4" t="str">
        <f ca="1">IFERROR(__xludf.DUMMYFUNCTION("""COMPUTED_VALUE"""),"Продление подписки на обновления 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Ш"&amp;"ИНЫ и товаром по штрихкодам  на 1 (один) год")</f>
        <v>Продление подписки на обновления Mobile SMARTS: Магазин 15 ПРОДУКТОВЫЙ, РАСШИРЕННЫЙ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 на 1 (один) год</v>
      </c>
      <c r="F187" s="5">
        <f ca="1">IFERROR(__xludf.DUMMYFUNCTION("""COMPUTED_VALUE"""),4190)</f>
        <v>4190</v>
      </c>
    </row>
    <row r="188" spans="1:6" ht="72" customHeight="1" x14ac:dyDescent="0.2">
      <c r="A188" s="4" t="str">
        <f ca="1">IFERROR(__xludf.DUMMYFUNCTION("""COMPUTED_VALUE"""),"«1С: Управление производственным предприятием 1.3.134» (Обычные формы)")</f>
        <v>«1С: Управление производственным предприятием 1.3.134» (Обычные формы)</v>
      </c>
      <c r="B188" s="4" t="str">
        <f ca="1">IFERROR(__xludf.DUMMYFUNCTION("""COMPUTED_VALUE"""),"ПРОДУКТОВЫЙ, МЕГАМАРКЕТ")</f>
        <v>ПРОДУКТОВЫЙ, МЕГАМАРКЕТ</v>
      </c>
      <c r="C188" s="4" t="str">
        <f ca="1">IFERROR(__xludf.DUMMYFUNCTION("""COMPUTED_VALUE"""),"SSY1-RTL15CG-1CUPP13")</f>
        <v>SSY1-RTL15CG-1CUPP13</v>
      </c>
      <c r="D188" s="4" t="str">
        <f ca="1">IFERROR(__xludf.DUMMYFUNCTION("""COMPUTED_VALUE"""),"Продление подписки на обновления 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ШИ"&amp;"НЫ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(в"&amp;"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воз"&amp;"можности: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88" s="4" t="str">
        <f ca="1">IFERROR(__xludf.DUMMYFUNCTION("""COMPUTED_VALUE"""),"Продление подписки на обновления 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ШИ"&amp;"НЫ и товаром по штрихкодам  на 1 (один) год")</f>
        <v>Продление подписки на обновления Mobile SMARTS: Магазин 15 ПРОДУКТОВЫЙ, МЕГАМАРКЕТ для «1С: Управление производственным предприятием 1.3.134» (Обычные формы), для работы с маркированным товаром: АЛКОГОЛЬ, ПИВО, ТАБАК, МОЛОКО, ВОДА, ОДЕЖДА, ОБУВЬ, ДУХИ, ШИНЫ и товаром по штрихкодам  на 1 (один) год</v>
      </c>
      <c r="F188" s="5">
        <f ca="1">IFERROR(__xludf.DUMMYFUNCTION("""COMPUTED_VALUE"""),5650)</f>
        <v>5650</v>
      </c>
    </row>
    <row r="189" spans="1:6" ht="72" customHeight="1" x14ac:dyDescent="0.2">
      <c r="A189" s="4" t="str">
        <f ca="1">IFERROR(__xludf.DUMMYFUNCTION("""COMPUTED_VALUE"""),"«1С: Управление торговлей 11.0»")</f>
        <v>«1С: Управление торговлей 11.0»</v>
      </c>
      <c r="B189" s="4" t="str">
        <f ca="1">IFERROR(__xludf.DUMMYFUNCTION("""COMPUTED_VALUE"""),"МИНИМУМ")</f>
        <v>МИНИМУМ</v>
      </c>
      <c r="C189" s="4" t="str">
        <f ca="1">IFERROR(__xludf.DUMMYFUNCTION("""COMPUTED_VALUE"""),"SSY1-RTL15M-1CUT110")</f>
        <v>SSY1-RTL15M-1CUT110</v>
      </c>
      <c r="D189" s="4" t="str">
        <f ca="1">IFERROR(__xludf.DUMMYFUNCTION("""COMPUTED_VALUE"""),"Продление подписки на обновления Mobile SMARTS: Магазин 15, МИНИМУМ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сбор штрихкодов, ин"&amp;"вентаризация,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"&amp;"обмен через Интернет на 1 (один) год")</f>
        <v>Продление подписки на обновления Mobile SMARTS: Магазин 15, МИНИМУМ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89" s="4" t="str">
        <f ca="1">IFERROR(__xludf.DUMMYFUNCTION("""COMPUTED_VALUE"""),"Продление подписки на обновления Mobile SMARTS: Магазин 15, МИНИМУМ для «1С: Управление торговлей 11.0», для работы с товаром по штрихкодам  на 1 (один) год")</f>
        <v>Продление подписки на обновления Mobile SMARTS: Магазин 15, МИНИМУМ для «1С: Управление торговлей 11.0», для работы с товаром по штрихкодам  на 1 (один) год</v>
      </c>
      <c r="F189" s="5">
        <f ca="1">IFERROR(__xludf.DUMMYFUNCTION("""COMPUTED_VALUE"""),690)</f>
        <v>690</v>
      </c>
    </row>
    <row r="190" spans="1:6" ht="72" customHeight="1" x14ac:dyDescent="0.2">
      <c r="A190" s="4" t="str">
        <f ca="1">IFERROR(__xludf.DUMMYFUNCTION("""COMPUTED_VALUE"""),"«1С: Управление торговлей 11.0»")</f>
        <v>«1С: Управление торговлей 11.0»</v>
      </c>
      <c r="B190" s="4" t="str">
        <f ca="1">IFERROR(__xludf.DUMMYFUNCTION("""COMPUTED_VALUE"""),"БАЗОВЫЙ")</f>
        <v>БАЗОВЫЙ</v>
      </c>
      <c r="C190" s="4" t="str">
        <f ca="1">IFERROR(__xludf.DUMMYFUNCTION("""COMPUTED_VALUE"""),"SSY1-RTL15A-1CUT110")</f>
        <v>SSY1-RTL15A-1CUT110</v>
      </c>
      <c r="D190" s="4" t="str">
        <f ca="1">IFERROR(__xludf.DUMMYFUNCTION("""COMPUTED_VALUE"""),"Продление подписки на обновления Mobile SMARTS: Магазин 15, БАЗОВЫЙ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11.0»,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0" s="4" t="str">
        <f ca="1">IFERROR(__xludf.DUMMYFUNCTION("""COMPUTED_VALUE"""),"Продление подписки на обновления Mobile SMARTS: Магазин 15, БАЗОВЫЙ для «1С: Управление торговлей 11.0», для работы с товаром по штрихкодам  на 1 (один) год")</f>
        <v>Продление подписки на обновления Mobile SMARTS: Магазин 15, БАЗОВЫЙ для «1С: Управление торговлей 11.0», для работы с товаром по штрихкодам  на 1 (один) год</v>
      </c>
      <c r="F190" s="5">
        <f ca="1">IFERROR(__xludf.DUMMYFUNCTION("""COMPUTED_VALUE"""),1730)</f>
        <v>1730</v>
      </c>
    </row>
    <row r="191" spans="1:6" ht="72" customHeight="1" x14ac:dyDescent="0.2">
      <c r="A191" s="4" t="str">
        <f ca="1">IFERROR(__xludf.DUMMYFUNCTION("""COMPUTED_VALUE"""),"«1С: Управление торговлей 11.0»")</f>
        <v>«1С: Управление торговлей 11.0»</v>
      </c>
      <c r="B191" s="4" t="str">
        <f ca="1">IFERROR(__xludf.DUMMYFUNCTION("""COMPUTED_VALUE"""),"РАСШИРЕННЫЙ")</f>
        <v>РАСШИРЕННЫЙ</v>
      </c>
      <c r="C191" s="4" t="str">
        <f ca="1">IFERROR(__xludf.DUMMYFUNCTION("""COMPUTED_VALUE"""),"SSY1-RTL15B-1CUT110")</f>
        <v>SSY1-RTL15B-1CUT110</v>
      </c>
      <c r="D191" s="4" t="str">
        <f ca="1">IFERROR(__xludf.DUMMYFUNCTION("""COMPUTED_VALUE"""),"Продление подписки на обновления Mobile SMARTS: Магазин 15, РАСШИРЕННЫЙ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1" s="4" t="str">
        <f ca="1">IFERROR(__xludf.DUMMYFUNCTION("""COMPUTED_VALUE"""),"Продление подписки на обновления Mobile SMARTS: Магазин 15, РАСШИРЕННЫЙ для «1С: Управление торговлей 11.0»,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11.0», для работы с товаром по штрихкодам  на 1 (один) год</v>
      </c>
      <c r="F191" s="5">
        <f ca="1">IFERROR(__xludf.DUMMYFUNCTION("""COMPUTED_VALUE"""),3010)</f>
        <v>3010</v>
      </c>
    </row>
    <row r="192" spans="1:6" ht="72" customHeight="1" x14ac:dyDescent="0.2">
      <c r="A192" s="4" t="str">
        <f ca="1">IFERROR(__xludf.DUMMYFUNCTION("""COMPUTED_VALUE"""),"«1С: Управление торговлей 11.0»")</f>
        <v>«1С: Управление торговлей 11.0»</v>
      </c>
      <c r="B192" s="4" t="str">
        <f ca="1">IFERROR(__xludf.DUMMYFUNCTION("""COMPUTED_VALUE"""),"МЕГАМАРКЕТ")</f>
        <v>МЕГАМАРКЕТ</v>
      </c>
      <c r="C192" s="4" t="str">
        <f ca="1">IFERROR(__xludf.DUMMYFUNCTION("""COMPUTED_VALUE"""),"SSY1-RTL15C-1CUT110")</f>
        <v>SSY1-RTL15C-1CUT110</v>
      </c>
      <c r="D192" s="4" t="str">
        <f ca="1">IFERROR(__xludf.DUMMYFUNCTION("""COMPUTED_VALUE"""),"Продление подписки на обновления Mobile SMARTS: Магазин 15, МЕГАМАРКЕТ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инв"&amp;"ентаризация,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11.0»,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2" s="4" t="str">
        <f ca="1">IFERROR(__xludf.DUMMYFUNCTION("""COMPUTED_VALUE"""),"Продление подписки на обновления Mobile SMARTS: Магазин 15, МЕГАМАРКЕТ для «1С: Управление торговлей 11.0»,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11.0», для работы с товаром по штрихкодам  на 1 (один) год</v>
      </c>
      <c r="F192" s="5">
        <f ca="1">IFERROR(__xludf.DUMMYFUNCTION("""COMPUTED_VALUE"""),4310)</f>
        <v>4310</v>
      </c>
    </row>
    <row r="193" spans="1:6" ht="72" customHeight="1" x14ac:dyDescent="0.2">
      <c r="A193" s="4" t="str">
        <f ca="1">IFERROR(__xludf.DUMMYFUNCTION("""COMPUTED_VALUE"""),"«1С: Управление торговлей 11.0»")</f>
        <v>«1С: Управление торговлей 11.0»</v>
      </c>
      <c r="B193" s="4" t="str">
        <f ca="1">IFERROR(__xludf.DUMMYFUNCTION("""COMPUTED_VALUE"""),"с ЕГАИС, БАЗОВЫЙ")</f>
        <v>с ЕГАИС, БАЗОВЫЙ</v>
      </c>
      <c r="C193" s="4" t="str">
        <f ca="1">IFERROR(__xludf.DUMMYFUNCTION("""COMPUTED_VALUE"""),"SSY1-RTL15AE-1CUT110")</f>
        <v>SSY1-RTL15AE-1CUT110</v>
      </c>
      <c r="D193" s="4" t="str">
        <f ca="1">IFERROR(__xludf.DUMMYFUNCTION("""COMPUTED_VALUE"""),"Продление подписки на обновления 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штрихкод"&amp;"ам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штр"&amp;"ихкодов,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н"&amp;"а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93" s="4" t="str">
        <f ca="1">IFERROR(__xludf.DUMMYFUNCTION("""COMPUTED_VALUE"""),"Продление подписки на обновления 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штрихкод"&amp;"ам  на 1 (один) год")</f>
        <v>Продление подписки на обновления Mobile SMARTS: Магазин 15 с ЕГАИС, БАЗОВЫЙ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193" s="5">
        <f ca="1">IFERROR(__xludf.DUMMYFUNCTION("""COMPUTED_VALUE"""),2600)</f>
        <v>2600</v>
      </c>
    </row>
    <row r="194" spans="1:6" ht="72" customHeight="1" x14ac:dyDescent="0.2">
      <c r="A194" s="4" t="str">
        <f ca="1">IFERROR(__xludf.DUMMYFUNCTION("""COMPUTED_VALUE"""),"«1С: Управление торговлей 11.0»")</f>
        <v>«1С: Управление торговлей 11.0»</v>
      </c>
      <c r="B194" s="4" t="str">
        <f ca="1">IFERROR(__xludf.DUMMYFUNCTION("""COMPUTED_VALUE"""),"с ЕГАИС, РАСШИРЕННЫЙ")</f>
        <v>с ЕГАИС, РАСШИРЕННЫЙ</v>
      </c>
      <c r="C194" s="4" t="str">
        <f ca="1">IFERROR(__xludf.DUMMYFUNCTION("""COMPUTED_VALUE"""),"SSY1-RTL15BE-1CUT110")</f>
        <v>SSY1-RTL15BE-1CUT110</v>
      </c>
      <c r="D194" s="4" t="str">
        <f ca="1">IFERROR(__xludf.DUMMYFUNCTION("""COMPUTED_VALUE"""),"Продление подписки на обновления 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штри"&amp;"хкодам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сбор"&amp;"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(одно)"&amp;" моб. устройство, подписка на обновления и обмен через Интернет на 1 (один) год")</f>
        <v>Продление подписки на обновления 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4" s="4" t="str">
        <f ca="1">IFERROR(__xludf.DUMMYFUNCTION("""COMPUTED_VALUE"""),"Продление подписки на обновления 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штри"&amp;"хкодам  на 1 (один) год")</f>
        <v>Продление подписки на обновления Mobile SMARTS: Магазин 15 с ЕГАИС, РАСШИРЕННЫЙ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194" s="5">
        <f ca="1">IFERROR(__xludf.DUMMYFUNCTION("""COMPUTED_VALUE"""),3890)</f>
        <v>3890</v>
      </c>
    </row>
    <row r="195" spans="1:6" ht="72" customHeight="1" x14ac:dyDescent="0.2">
      <c r="A195" s="4" t="str">
        <f ca="1">IFERROR(__xludf.DUMMYFUNCTION("""COMPUTED_VALUE"""),"«1С: Управление торговлей 11.0»")</f>
        <v>«1С: Управление торговлей 11.0»</v>
      </c>
      <c r="B195" s="4" t="str">
        <f ca="1">IFERROR(__xludf.DUMMYFUNCTION("""COMPUTED_VALUE"""),"с ЕГАИС (без CheckMark2), МЕГАМАРКЕТ")</f>
        <v>с ЕГАИС (без CheckMark2), МЕГАМАРКЕТ</v>
      </c>
      <c r="C195" s="4" t="str">
        <f ca="1">IFERROR(__xludf.DUMMYFUNCTION("""COMPUTED_VALUE"""),"SSY1-RTL15CEV-1CUT110")</f>
        <v>SSY1-RTL15CEV-1CUT110</v>
      </c>
      <c r="D195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"&amp;"и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инве"&amp;"нтаризация,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до"&amp;"бавлять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5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"&amp;"и товары по штрихкодам  на 1 (один) год")</f>
        <v>Продление подписки на обновления Mobile SMARTS: Магазин 15 с ЕГАИС (без CheckMark2), МЕГАМАРКЕТ для «1С: Управление торговлей 11.0»,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195" s="5">
        <f ca="1">IFERROR(__xludf.DUMMYFUNCTION("""COMPUTED_VALUE"""),5170)</f>
        <v>5170</v>
      </c>
    </row>
    <row r="196" spans="1:6" ht="72" customHeight="1" x14ac:dyDescent="0.2">
      <c r="A196" s="4" t="str">
        <f ca="1">IFERROR(__xludf.DUMMYFUNCTION("""COMPUTED_VALUE"""),"«1С: Управление торговлей 11.1»")</f>
        <v>«1С: Управление торговлей 11.1»</v>
      </c>
      <c r="B196" s="4" t="str">
        <f ca="1">IFERROR(__xludf.DUMMYFUNCTION("""COMPUTED_VALUE"""),"МИНИМУМ")</f>
        <v>МИНИМУМ</v>
      </c>
      <c r="C196" s="4" t="str">
        <f ca="1">IFERROR(__xludf.DUMMYFUNCTION("""COMPUTED_VALUE"""),"SSY1-RTL15M-1CUT111")</f>
        <v>SSY1-RTL15M-1CUT111</v>
      </c>
      <c r="D196" s="4" t="str">
        <f ca="1">IFERROR(__xludf.DUMMYFUNCTION("""COMPUTED_VALUE"""),"Продление подписки на обновления Mobile SMARTS: Магазин 15, МИНИМУМ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сбор штрихкодов, ин"&amp;"вентаризация,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"&amp;"обмен через Интернет на 1 (один) год")</f>
        <v>Продление подписки на обновления Mobile SMARTS: Магазин 15, МИНИМУМ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196" s="4" t="str">
        <f ca="1">IFERROR(__xludf.DUMMYFUNCTION("""COMPUTED_VALUE"""),"Продление подписки на обновления Mobile SMARTS: Магазин 15, МИНИМУМ для «1С: Управление торговлей 11.1», для работы с товаром по штрихкодам  на 1 (один) год")</f>
        <v>Продление подписки на обновления Mobile SMARTS: Магазин 15, МИНИМУМ для «1С: Управление торговлей 11.1», для работы с товаром по штрихкодам  на 1 (один) год</v>
      </c>
      <c r="F196" s="5">
        <f ca="1">IFERROR(__xludf.DUMMYFUNCTION("""COMPUTED_VALUE"""),690)</f>
        <v>690</v>
      </c>
    </row>
    <row r="197" spans="1:6" ht="72" customHeight="1" x14ac:dyDescent="0.2">
      <c r="A197" s="4" t="str">
        <f ca="1">IFERROR(__xludf.DUMMYFUNCTION("""COMPUTED_VALUE"""),"«1С: Управление торговлей 11.1»")</f>
        <v>«1С: Управление торговлей 11.1»</v>
      </c>
      <c r="B197" s="4" t="str">
        <f ca="1">IFERROR(__xludf.DUMMYFUNCTION("""COMPUTED_VALUE"""),"БАЗОВЫЙ")</f>
        <v>БАЗОВЫЙ</v>
      </c>
      <c r="C197" s="4" t="str">
        <f ca="1">IFERROR(__xludf.DUMMYFUNCTION("""COMPUTED_VALUE"""),"SSY1-RTL15A-1CUT111")</f>
        <v>SSY1-RTL15A-1CUT111</v>
      </c>
      <c r="D197" s="4" t="str">
        <f ca="1">IFERROR(__xludf.DUMMYFUNCTION("""COMPUTED_VALUE"""),"Продление подписки на обновления Mobile SMARTS: Магазин 15, БАЗОВЫЙ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11.1»,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7" s="4" t="str">
        <f ca="1">IFERROR(__xludf.DUMMYFUNCTION("""COMPUTED_VALUE"""),"Продление подписки на обновления Mobile SMARTS: Магазин 15, БАЗОВЫЙ для «1С: Управление торговлей 11.1», для работы с товаром по штрихкодам  на 1 (один) год")</f>
        <v>Продление подписки на обновления Mobile SMARTS: Магазин 15, БАЗОВЫЙ для «1С: Управление торговлей 11.1», для работы с товаром по штрихкодам  на 1 (один) год</v>
      </c>
      <c r="F197" s="5">
        <f ca="1">IFERROR(__xludf.DUMMYFUNCTION("""COMPUTED_VALUE"""),1730)</f>
        <v>1730</v>
      </c>
    </row>
    <row r="198" spans="1:6" ht="72" customHeight="1" x14ac:dyDescent="0.2">
      <c r="A198" s="4" t="str">
        <f ca="1">IFERROR(__xludf.DUMMYFUNCTION("""COMPUTED_VALUE"""),"«1С: Управление торговлей 11.1»")</f>
        <v>«1С: Управление торговлей 11.1»</v>
      </c>
      <c r="B198" s="4" t="str">
        <f ca="1">IFERROR(__xludf.DUMMYFUNCTION("""COMPUTED_VALUE"""),"РАСШИРЕННЫЙ")</f>
        <v>РАСШИРЕННЫЙ</v>
      </c>
      <c r="C198" s="4" t="str">
        <f ca="1">IFERROR(__xludf.DUMMYFUNCTION("""COMPUTED_VALUE"""),"SSY1-RTL15B-1CUT111")</f>
        <v>SSY1-RTL15B-1CUT111</v>
      </c>
      <c r="D198" s="4" t="str">
        <f ca="1">IFERROR(__xludf.DUMMYFUNCTION("""COMPUTED_VALUE"""),"Продление подписки на обновления Mobile SMARTS: Магазин 15, РАСШИРЕННЫЙ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8" s="4" t="str">
        <f ca="1">IFERROR(__xludf.DUMMYFUNCTION("""COMPUTED_VALUE"""),"Продление подписки на обновления Mobile SMARTS: Магазин 15, РАСШИРЕННЫЙ для «1С: Управление торговлей 11.1»,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11.1», для работы с товаром по штрихкодам  на 1 (один) год</v>
      </c>
      <c r="F198" s="5">
        <f ca="1">IFERROR(__xludf.DUMMYFUNCTION("""COMPUTED_VALUE"""),3010)</f>
        <v>3010</v>
      </c>
    </row>
    <row r="199" spans="1:6" ht="72" customHeight="1" x14ac:dyDescent="0.2">
      <c r="A199" s="4" t="str">
        <f ca="1">IFERROR(__xludf.DUMMYFUNCTION("""COMPUTED_VALUE"""),"«1С: Управление торговлей 11.1»")</f>
        <v>«1С: Управление торговлей 11.1»</v>
      </c>
      <c r="B199" s="4" t="str">
        <f ca="1">IFERROR(__xludf.DUMMYFUNCTION("""COMPUTED_VALUE"""),"МЕГАМАРКЕТ")</f>
        <v>МЕГАМАРКЕТ</v>
      </c>
      <c r="C199" s="4" t="str">
        <f ca="1">IFERROR(__xludf.DUMMYFUNCTION("""COMPUTED_VALUE"""),"SSY1-RTL15C-1CUT111")</f>
        <v>SSY1-RTL15C-1CUT111</v>
      </c>
      <c r="D199" s="4" t="str">
        <f ca="1">IFERROR(__xludf.DUMMYFUNCTION("""COMPUTED_VALUE"""),"Продление подписки на обновления Mobile SMARTS: Магазин 15, МЕГАМАРКЕТ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инв"&amp;"ентаризация,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11.1»,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199" s="4" t="str">
        <f ca="1">IFERROR(__xludf.DUMMYFUNCTION("""COMPUTED_VALUE"""),"Продление подписки на обновления Mobile SMARTS: Магазин 15, МЕГАМАРКЕТ для «1С: Управление торговлей 11.1»,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11.1», для работы с товаром по штрихкодам  на 1 (один) год</v>
      </c>
      <c r="F199" s="5">
        <f ca="1">IFERROR(__xludf.DUMMYFUNCTION("""COMPUTED_VALUE"""),4310)</f>
        <v>4310</v>
      </c>
    </row>
    <row r="200" spans="1:6" ht="72" customHeight="1" x14ac:dyDescent="0.2">
      <c r="A200" s="4" t="str">
        <f ca="1">IFERROR(__xludf.DUMMYFUNCTION("""COMPUTED_VALUE"""),"«1С: Управление торговлей 11.1»")</f>
        <v>«1С: Управление торговлей 11.1»</v>
      </c>
      <c r="B200" s="4" t="str">
        <f ca="1">IFERROR(__xludf.DUMMYFUNCTION("""COMPUTED_VALUE"""),"с ЕГАИС, БАЗОВЫЙ")</f>
        <v>с ЕГАИС, БАЗОВЫЙ</v>
      </c>
      <c r="C200" s="4" t="str">
        <f ca="1">IFERROR(__xludf.DUMMYFUNCTION("""COMPUTED_VALUE"""),"SSY1-RTL15AE-1CUT111")</f>
        <v>SSY1-RTL15AE-1CUT111</v>
      </c>
      <c r="D200" s="4" t="str">
        <f ca="1">IFERROR(__xludf.DUMMYFUNCTION("""COMPUTED_VALUE"""),"Продление подписки на обновления 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штрихкод"&amp;"ам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штр"&amp;"ихкодов,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н"&amp;"а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00" s="4" t="str">
        <f ca="1">IFERROR(__xludf.DUMMYFUNCTION("""COMPUTED_VALUE"""),"Продление подписки на обновления 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штрихкод"&amp;"ам  на 1 (один) год")</f>
        <v>Продление подписки на обновления Mobile SMARTS: Магазин 15 с ЕГАИС, БАЗОВЫЙ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200" s="5">
        <f ca="1">IFERROR(__xludf.DUMMYFUNCTION("""COMPUTED_VALUE"""),2600)</f>
        <v>2600</v>
      </c>
    </row>
    <row r="201" spans="1:6" ht="72" customHeight="1" x14ac:dyDescent="0.2">
      <c r="A201" s="4" t="str">
        <f ca="1">IFERROR(__xludf.DUMMYFUNCTION("""COMPUTED_VALUE"""),"«1С: Управление торговлей 11.1»")</f>
        <v>«1С: Управление торговлей 11.1»</v>
      </c>
      <c r="B201" s="4" t="str">
        <f ca="1">IFERROR(__xludf.DUMMYFUNCTION("""COMPUTED_VALUE"""),"с ЕГАИС, РАСШИРЕННЫЙ")</f>
        <v>с ЕГАИС, РАСШИРЕННЫЙ</v>
      </c>
      <c r="C201" s="4" t="str">
        <f ca="1">IFERROR(__xludf.DUMMYFUNCTION("""COMPUTED_VALUE"""),"SSY1-RTL15BE-1CUT111")</f>
        <v>SSY1-RTL15BE-1CUT111</v>
      </c>
      <c r="D201" s="4" t="str">
        <f ca="1">IFERROR(__xludf.DUMMYFUNCTION("""COMPUTED_VALUE"""),"Продление подписки на обновления 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штри"&amp;"хкодам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сбор"&amp;"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(одно)"&amp;" моб. устройство, подписка на обновления и обмен через Интернет на 1 (один) год")</f>
        <v>Продление подписки на обновления 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1" s="4" t="str">
        <f ca="1">IFERROR(__xludf.DUMMYFUNCTION("""COMPUTED_VALUE"""),"Продление подписки на обновления 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штри"&amp;"хкодам  на 1 (один) год")</f>
        <v>Продление подписки на обновления Mobile SMARTS: Магазин 15 с ЕГАИС, РАСШИРЕННЫЙ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201" s="5">
        <f ca="1">IFERROR(__xludf.DUMMYFUNCTION("""COMPUTED_VALUE"""),3890)</f>
        <v>3890</v>
      </c>
    </row>
    <row r="202" spans="1:6" ht="72" customHeight="1" x14ac:dyDescent="0.2">
      <c r="A202" s="4" t="str">
        <f ca="1">IFERROR(__xludf.DUMMYFUNCTION("""COMPUTED_VALUE"""),"«1С: Управление торговлей 11.1»")</f>
        <v>«1С: Управление торговлей 11.1»</v>
      </c>
      <c r="B202" s="4" t="str">
        <f ca="1">IFERROR(__xludf.DUMMYFUNCTION("""COMPUTED_VALUE"""),"с ЕГАИС (без CheckMark2), МЕГАМАРКЕТ")</f>
        <v>с ЕГАИС (без CheckMark2), МЕГАМАРКЕТ</v>
      </c>
      <c r="C202" s="4" t="str">
        <f ca="1">IFERROR(__xludf.DUMMYFUNCTION("""COMPUTED_VALUE"""),"SSY1-RTL15CEV-1CUT111")</f>
        <v>SSY1-RTL15CEV-1CUT111</v>
      </c>
      <c r="D202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"&amp;"и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инве"&amp;"нтаризация,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до"&amp;"бавлять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2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"&amp;"и товары по штрихкодам  на 1 (один) год")</f>
        <v>Продление подписки на обновления Mobile SMARTS: Магазин 15 с ЕГАИС (без CheckMark2), МЕГАМАРКЕТ для «1С: Управление торговлей 11.1»,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202" s="5">
        <f ca="1">IFERROR(__xludf.DUMMYFUNCTION("""COMPUTED_VALUE"""),5170)</f>
        <v>5170</v>
      </c>
    </row>
    <row r="203" spans="1:6" ht="72" customHeight="1" x14ac:dyDescent="0.2">
      <c r="A203" s="4" t="str">
        <f ca="1">IFERROR(__xludf.DUMMYFUNCTION("""COMPUTED_VALUE"""),"«1С: Управление торговлей 11.2»")</f>
        <v>«1С: Управление торговлей 11.2»</v>
      </c>
      <c r="B203" s="4" t="str">
        <f ca="1">IFERROR(__xludf.DUMMYFUNCTION("""COMPUTED_VALUE"""),"МИНИМУМ")</f>
        <v>МИНИМУМ</v>
      </c>
      <c r="C203" s="4" t="str">
        <f ca="1">IFERROR(__xludf.DUMMYFUNCTION("""COMPUTED_VALUE"""),"SSY1-RTL15M-1CUT112")</f>
        <v>SSY1-RTL15M-1CUT112</v>
      </c>
      <c r="D203" s="4" t="str">
        <f ca="1">IFERROR(__xludf.DUMMYFUNCTION("""COMPUTED_VALUE"""),"Продление подписки на обновления Mobile SMARTS: Магазин 15, МИНИМУМ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сбор штрихкодов, ин"&amp;"вентаризация,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"&amp;"обмен через Интернет на 1 (один) год")</f>
        <v>Продление подписки на обновления Mobile SMARTS: Магазин 15, МИНИМУМ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03" s="4" t="str">
        <f ca="1">IFERROR(__xludf.DUMMYFUNCTION("""COMPUTED_VALUE"""),"Продление подписки на обновления Mobile SMARTS: Магазин 15, МИНИМУМ для «1С: Управление торговлей 11.2», для работы с товаром по штрихкодам  на 1 (один) год")</f>
        <v>Продление подписки на обновления Mobile SMARTS: Магазин 15, МИНИМУМ для «1С: Управление торговлей 11.2», для работы с товаром по штрихкодам  на 1 (один) год</v>
      </c>
      <c r="F203" s="5">
        <f ca="1">IFERROR(__xludf.DUMMYFUNCTION("""COMPUTED_VALUE"""),690)</f>
        <v>690</v>
      </c>
    </row>
    <row r="204" spans="1:6" ht="72" customHeight="1" x14ac:dyDescent="0.2">
      <c r="A204" s="4" t="str">
        <f ca="1">IFERROR(__xludf.DUMMYFUNCTION("""COMPUTED_VALUE"""),"«1С: Управление торговлей 11.2»")</f>
        <v>«1С: Управление торговлей 11.2»</v>
      </c>
      <c r="B204" s="4" t="str">
        <f ca="1">IFERROR(__xludf.DUMMYFUNCTION("""COMPUTED_VALUE"""),"БАЗОВЫЙ")</f>
        <v>БАЗОВЫЙ</v>
      </c>
      <c r="C204" s="4" t="str">
        <f ca="1">IFERROR(__xludf.DUMMYFUNCTION("""COMPUTED_VALUE"""),"SSY1-RTL15A-1CUT112")</f>
        <v>SSY1-RTL15A-1CUT112</v>
      </c>
      <c r="D204" s="4" t="str">
        <f ca="1">IFERROR(__xludf.DUMMYFUNCTION("""COMPUTED_VALUE"""),"Продление подписки на обновления Mobile SMARTS: Магазин 15, БАЗОВЫЙ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11.2»,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4" s="4" t="str">
        <f ca="1">IFERROR(__xludf.DUMMYFUNCTION("""COMPUTED_VALUE"""),"Продление подписки на обновления Mobile SMARTS: Магазин 15, БАЗОВЫЙ для «1С: Управление торговлей 11.2», для работы с товаром по штрихкодам  на 1 (один) год")</f>
        <v>Продление подписки на обновления Mobile SMARTS: Магазин 15, БАЗОВЫЙ для «1С: Управление торговлей 11.2», для работы с товаром по штрихкодам  на 1 (один) год</v>
      </c>
      <c r="F204" s="5">
        <f ca="1">IFERROR(__xludf.DUMMYFUNCTION("""COMPUTED_VALUE"""),1730)</f>
        <v>1730</v>
      </c>
    </row>
    <row r="205" spans="1:6" ht="72" customHeight="1" x14ac:dyDescent="0.2">
      <c r="A205" s="4" t="str">
        <f ca="1">IFERROR(__xludf.DUMMYFUNCTION("""COMPUTED_VALUE"""),"«1С: Управление торговлей 11.2»")</f>
        <v>«1С: Управление торговлей 11.2»</v>
      </c>
      <c r="B205" s="4" t="str">
        <f ca="1">IFERROR(__xludf.DUMMYFUNCTION("""COMPUTED_VALUE"""),"РАСШИРЕННЫЙ")</f>
        <v>РАСШИРЕННЫЙ</v>
      </c>
      <c r="C205" s="4" t="str">
        <f ca="1">IFERROR(__xludf.DUMMYFUNCTION("""COMPUTED_VALUE"""),"SSY1-RTL15B-1CUT112")</f>
        <v>SSY1-RTL15B-1CUT112</v>
      </c>
      <c r="D205" s="4" t="str">
        <f ca="1">IFERROR(__xludf.DUMMYFUNCTION("""COMPUTED_VALUE"""),"Продление подписки на обновления Mobile SMARTS: Магазин 15, РАСШИРЕННЫЙ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5" s="4" t="str">
        <f ca="1">IFERROR(__xludf.DUMMYFUNCTION("""COMPUTED_VALUE"""),"Продление подписки на обновления Mobile SMARTS: Магазин 15, РАСШИРЕННЫЙ для «1С: Управление торговлей 11.2»,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11.2», для работы с товаром по штрихкодам  на 1 (один) год</v>
      </c>
      <c r="F205" s="5">
        <f ca="1">IFERROR(__xludf.DUMMYFUNCTION("""COMPUTED_VALUE"""),3010)</f>
        <v>3010</v>
      </c>
    </row>
    <row r="206" spans="1:6" ht="72" customHeight="1" x14ac:dyDescent="0.2">
      <c r="A206" s="4" t="str">
        <f ca="1">IFERROR(__xludf.DUMMYFUNCTION("""COMPUTED_VALUE"""),"«1С: Управление торговлей 11.2»")</f>
        <v>«1С: Управление торговлей 11.2»</v>
      </c>
      <c r="B206" s="4" t="str">
        <f ca="1">IFERROR(__xludf.DUMMYFUNCTION("""COMPUTED_VALUE"""),"МЕГАМАРКЕТ")</f>
        <v>МЕГАМАРКЕТ</v>
      </c>
      <c r="C206" s="4" t="str">
        <f ca="1">IFERROR(__xludf.DUMMYFUNCTION("""COMPUTED_VALUE"""),"SSY1-RTL15C-1CUT112")</f>
        <v>SSY1-RTL15C-1CUT112</v>
      </c>
      <c r="D206" s="4" t="str">
        <f ca="1">IFERROR(__xludf.DUMMYFUNCTION("""COMPUTED_VALUE"""),"Продление подписки на обновления Mobile SMARTS: Магазин 15, МЕГАМАРКЕТ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инв"&amp;"ентаризация,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11.2»,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6" s="4" t="str">
        <f ca="1">IFERROR(__xludf.DUMMYFUNCTION("""COMPUTED_VALUE"""),"Продление подписки на обновления Mobile SMARTS: Магазин 15, МЕГАМАРКЕТ для «1С: Управление торговлей 11.2»,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11.2», для работы с товаром по штрихкодам  на 1 (один) год</v>
      </c>
      <c r="F206" s="5">
        <f ca="1">IFERROR(__xludf.DUMMYFUNCTION("""COMPUTED_VALUE"""),4310)</f>
        <v>4310</v>
      </c>
    </row>
    <row r="207" spans="1:6" ht="72" customHeight="1" x14ac:dyDescent="0.2">
      <c r="A207" s="4" t="str">
        <f ca="1">IFERROR(__xludf.DUMMYFUNCTION("""COMPUTED_VALUE"""),"«1С: Управление торговлей 11.2»")</f>
        <v>«1С: Управление торговлей 11.2»</v>
      </c>
      <c r="B207" s="4" t="str">
        <f ca="1">IFERROR(__xludf.DUMMYFUNCTION("""COMPUTED_VALUE"""),"с ЕГАИС, БАЗОВЫЙ")</f>
        <v>с ЕГАИС, БАЗОВЫЙ</v>
      </c>
      <c r="C207" s="4" t="str">
        <f ca="1">IFERROR(__xludf.DUMMYFUNCTION("""COMPUTED_VALUE"""),"SSY1-RTL15AE-1CUT112")</f>
        <v>SSY1-RTL15AE-1CUT112</v>
      </c>
      <c r="D207" s="4" t="str">
        <f ca="1">IFERROR(__xludf.DUMMYFUNCTION("""COMPUTED_VALUE"""),"Продление подписки на обновления Mobile SMARTS: Магазин 15 с ЕГАИС, БАЗОВЫЙ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нет он"&amp;"лайна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печать"&amp;"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Продление подписки на обновления Mobile SMARTS: Магазин 15 с ЕГАИС, БАЗОВЫЙ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07" s="4" t="str">
        <f ca="1">IFERROR(__xludf.DUMMYFUNCTION("""COMPUTED_VALUE"""),"Продление подписки на обновления Mobile SMARTS: Магазин 15 с ЕГАИС, БАЗОВЫЙ для «1С: Управление торговлей 11.2»,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Управление торговлей 11.2», для работы с маркированным товаром: алкоголь ЕГАИС и товары по штрихкодам  на 1 (один) год</v>
      </c>
      <c r="F207" s="5">
        <f ca="1">IFERROR(__xludf.DUMMYFUNCTION("""COMPUTED_VALUE"""),2200)</f>
        <v>2200</v>
      </c>
    </row>
    <row r="208" spans="1:6" ht="72" customHeight="1" x14ac:dyDescent="0.2">
      <c r="A208" s="4" t="str">
        <f ca="1">IFERROR(__xludf.DUMMYFUNCTION("""COMPUTED_VALUE"""),"«1С: Управление торговлей 11.2»")</f>
        <v>«1С: Управление торговлей 11.2»</v>
      </c>
      <c r="B208" s="4" t="str">
        <f ca="1">IFERROR(__xludf.DUMMYFUNCTION("""COMPUTED_VALUE"""),"с ЕГАИС, РАСШИРЕННЫЙ")</f>
        <v>с ЕГАИС, РАСШИРЕННЫЙ</v>
      </c>
      <c r="C208" s="4" t="str">
        <f ca="1">IFERROR(__xludf.DUMMYFUNCTION("""COMPUTED_VALUE"""),"SSY1-RTL15BE-1CUT112")</f>
        <v>SSY1-RTL15BE-1CUT112</v>
      </c>
      <c r="D208" s="4" t="str">
        <f ca="1">IFERROR(__xludf.DUMMYFUNCTION("""COMPUTED_VALUE"""),"Продление подписки на обновления Mobile SMARTS: Магазин 15 с ЕГАИС, РАСШИРЕННЫЙ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ес"&amp;"ть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Продление подписки на обновления Mobile SMARTS: Магазин 15 с ЕГАИС, РАСШИРЕННЫЙ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8" s="4" t="str">
        <f ca="1">IFERROR(__xludf.DUMMYFUNCTION("""COMPUTED_VALUE"""),"Продление подписки на обновления Mobile SMARTS: Магазин 15 с ЕГАИС, РАСШИРЕННЫЙ для «1С: Управление торговлей 11.2»,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Управление торговлей 11.2», для работы с маркированным товаром: алкоголь ЕГАИС и товары по штрихкодам  на 1 (один) год</v>
      </c>
      <c r="F208" s="5">
        <f ca="1">IFERROR(__xludf.DUMMYFUNCTION("""COMPUTED_VALUE"""),3490)</f>
        <v>3490</v>
      </c>
    </row>
    <row r="209" spans="1:6" ht="72" customHeight="1" x14ac:dyDescent="0.2">
      <c r="A209" s="4" t="str">
        <f ca="1">IFERROR(__xludf.DUMMYFUNCTION("""COMPUTED_VALUE"""),"«1С: Управление торговлей 11.2»")</f>
        <v>«1С: Управление торговлей 11.2»</v>
      </c>
      <c r="B209" s="4" t="str">
        <f ca="1">IFERROR(__xludf.DUMMYFUNCTION("""COMPUTED_VALUE"""),"с ЕГАИС (без CheckMark2), МЕГАМАРКЕТ")</f>
        <v>с ЕГАИС (без CheckMark2), МЕГАМАРКЕТ</v>
      </c>
      <c r="C209" s="4" t="str">
        <f ca="1">IFERROR(__xludf.DUMMYFUNCTION("""COMPUTED_VALUE"""),"SSY1-RTL15CEV-1CUT112")</f>
        <v>SSY1-RTL15CEV-1CUT112</v>
      </c>
      <c r="D209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чер"&amp;"ез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/"&amp;"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устройство"&amp;",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09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Управление торговлей 11.2», для работы с маркированным товаром: алкоголь ЕГАИС и товары по штрихкодам  на 1 (один) год</v>
      </c>
      <c r="F209" s="5">
        <f ca="1">IFERROR(__xludf.DUMMYFUNCTION("""COMPUTED_VALUE"""),4770)</f>
        <v>4770</v>
      </c>
    </row>
    <row r="210" spans="1:6" ht="72" customHeight="1" x14ac:dyDescent="0.2">
      <c r="A210" s="4" t="str">
        <f ca="1">IFERROR(__xludf.DUMMYFUNCTION("""COMPUTED_VALUE"""),"«1С: Управление торговлей 11.3»")</f>
        <v>«1С: Управление торговлей 11.3»</v>
      </c>
      <c r="B210" s="4" t="str">
        <f ca="1">IFERROR(__xludf.DUMMYFUNCTION("""COMPUTED_VALUE"""),"МИНИМУМ")</f>
        <v>МИНИМУМ</v>
      </c>
      <c r="C210" s="4" t="str">
        <f ca="1">IFERROR(__xludf.DUMMYFUNCTION("""COMPUTED_VALUE"""),"SSY1-RTL15M-1CUT113")</f>
        <v>SSY1-RTL15M-1CUT113</v>
      </c>
      <c r="D210" s="4" t="str">
        <f ca="1">IFERROR(__xludf.DUMMYFUNCTION("""COMPUTED_VALUE"""),"Продление подписки на обновления Mobile SMARTS: Магазин 15, МИНИМУМ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сбор штрихкодов, ин"&amp;"вентаризация,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"&amp;"обмен через Интернет на 1 (один) год")</f>
        <v>Продление подписки на обновления Mobile SMARTS: Магазин 15, МИНИМУМ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10" s="4" t="str">
        <f ca="1">IFERROR(__xludf.DUMMYFUNCTION("""COMPUTED_VALUE"""),"Продление подписки на обновления Mobile SMARTS: Магазин 15, МИНИМУМ для «1С: Управление торговлей 11.3», для работы с товаром по штрихкодам  на 1 (один) год")</f>
        <v>Продление подписки на обновления Mobile SMARTS: Магазин 15, МИНИМУМ для «1С: Управление торговлей 11.3», для работы с товаром по штрихкодам  на 1 (один) год</v>
      </c>
      <c r="F210" s="5">
        <f ca="1">IFERROR(__xludf.DUMMYFUNCTION("""COMPUTED_VALUE"""),690)</f>
        <v>690</v>
      </c>
    </row>
    <row r="211" spans="1:6" ht="72" customHeight="1" x14ac:dyDescent="0.2">
      <c r="A211" s="4" t="str">
        <f ca="1">IFERROR(__xludf.DUMMYFUNCTION("""COMPUTED_VALUE"""),"«1С: Управление торговлей 11.3»")</f>
        <v>«1С: Управление торговлей 11.3»</v>
      </c>
      <c r="B211" s="4" t="str">
        <f ca="1">IFERROR(__xludf.DUMMYFUNCTION("""COMPUTED_VALUE"""),"БАЗОВЫЙ")</f>
        <v>БАЗОВЫЙ</v>
      </c>
      <c r="C211" s="4" t="str">
        <f ca="1">IFERROR(__xludf.DUMMYFUNCTION("""COMPUTED_VALUE"""),"SSY1-RTL15A-1CUT113")</f>
        <v>SSY1-RTL15A-1CUT113</v>
      </c>
      <c r="D211" s="4" t="str">
        <f ca="1">IFERROR(__xludf.DUMMYFUNCTION("""COMPUTED_VALUE"""),"Продление подписки на обновления Mobile SMARTS: Магазин 15, БАЗОВЫЙ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11.3»,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1" s="4" t="str">
        <f ca="1">IFERROR(__xludf.DUMMYFUNCTION("""COMPUTED_VALUE"""),"Продление подписки на обновления Mobile SMARTS: Магазин 15, БАЗОВЫЙ для «1С: Управление торговлей 11.3», для работы с товаром по штрихкодам  на 1 (один) год")</f>
        <v>Продление подписки на обновления Mobile SMARTS: Магазин 15, БАЗОВЫЙ для «1С: Управление торговлей 11.3», для работы с товаром по штрихкодам  на 1 (один) год</v>
      </c>
      <c r="F211" s="5">
        <f ca="1">IFERROR(__xludf.DUMMYFUNCTION("""COMPUTED_VALUE"""),1730)</f>
        <v>1730</v>
      </c>
    </row>
    <row r="212" spans="1:6" ht="72" customHeight="1" x14ac:dyDescent="0.2">
      <c r="A212" s="4" t="str">
        <f ca="1">IFERROR(__xludf.DUMMYFUNCTION("""COMPUTED_VALUE"""),"«1С: Управление торговлей 11.3»")</f>
        <v>«1С: Управление торговлей 11.3»</v>
      </c>
      <c r="B212" s="4" t="str">
        <f ca="1">IFERROR(__xludf.DUMMYFUNCTION("""COMPUTED_VALUE"""),"РАСШИРЕННЫЙ")</f>
        <v>РАСШИРЕННЫЙ</v>
      </c>
      <c r="C212" s="4" t="str">
        <f ca="1">IFERROR(__xludf.DUMMYFUNCTION("""COMPUTED_VALUE"""),"SSY1-RTL15B-1CUT113")</f>
        <v>SSY1-RTL15B-1CUT113</v>
      </c>
      <c r="D212" s="4" t="str">
        <f ca="1">IFERROR(__xludf.DUMMYFUNCTION("""COMPUTED_VALUE"""),"Продление подписки на обновления Mobile SMARTS: Магазин 15, РАСШИРЕННЫЙ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2" s="4" t="str">
        <f ca="1">IFERROR(__xludf.DUMMYFUNCTION("""COMPUTED_VALUE"""),"Продление подписки на обновления Mobile SMARTS: Магазин 15, РАСШИРЕННЫЙ для «1С: Управление торговлей 11.3»,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11.3», для работы с товаром по штрихкодам  на 1 (один) год</v>
      </c>
      <c r="F212" s="5">
        <f ca="1">IFERROR(__xludf.DUMMYFUNCTION("""COMPUTED_VALUE"""),3010)</f>
        <v>3010</v>
      </c>
    </row>
    <row r="213" spans="1:6" ht="72" customHeight="1" x14ac:dyDescent="0.2">
      <c r="A213" s="4" t="str">
        <f ca="1">IFERROR(__xludf.DUMMYFUNCTION("""COMPUTED_VALUE"""),"«1С: Управление торговлей 11.3»")</f>
        <v>«1С: Управление торговлей 11.3»</v>
      </c>
      <c r="B213" s="4" t="str">
        <f ca="1">IFERROR(__xludf.DUMMYFUNCTION("""COMPUTED_VALUE"""),"МЕГАМАРКЕТ")</f>
        <v>МЕГАМАРКЕТ</v>
      </c>
      <c r="C213" s="4" t="str">
        <f ca="1">IFERROR(__xludf.DUMMYFUNCTION("""COMPUTED_VALUE"""),"SSY1-RTL15C-1CUT113")</f>
        <v>SSY1-RTL15C-1CUT113</v>
      </c>
      <c r="D213" s="4" t="str">
        <f ca="1">IFERROR(__xludf.DUMMYFUNCTION("""COMPUTED_VALUE"""),"Продление подписки на обновления Mobile SMARTS: Магазин 15, МЕГАМАРКЕТ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инв"&amp;"ентаризация,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11.3»,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3" s="4" t="str">
        <f ca="1">IFERROR(__xludf.DUMMYFUNCTION("""COMPUTED_VALUE"""),"Продление подписки на обновления Mobile SMARTS: Магазин 15, МЕГАМАРКЕТ для «1С: Управление торговлей 11.3»,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11.3», для работы с товаром по штрихкодам  на 1 (один) год</v>
      </c>
      <c r="F213" s="5">
        <f ca="1">IFERROR(__xludf.DUMMYFUNCTION("""COMPUTED_VALUE"""),4310)</f>
        <v>4310</v>
      </c>
    </row>
    <row r="214" spans="1:6" ht="72" customHeight="1" x14ac:dyDescent="0.2">
      <c r="A214" s="4" t="str">
        <f ca="1">IFERROR(__xludf.DUMMYFUNCTION("""COMPUTED_VALUE"""),"«1С: Управление торговлей 11.3»")</f>
        <v>«1С: Управление торговлей 11.3»</v>
      </c>
      <c r="B214" s="4" t="str">
        <f ca="1">IFERROR(__xludf.DUMMYFUNCTION("""COMPUTED_VALUE"""),"с ЕГАИС, БАЗОВЫЙ")</f>
        <v>с ЕГАИС, БАЗОВЫЙ</v>
      </c>
      <c r="C214" s="4" t="str">
        <f ca="1">IFERROR(__xludf.DUMMYFUNCTION("""COMPUTED_VALUE"""),"SSY1-RTL15AE-1CUT113")</f>
        <v>SSY1-RTL15AE-1CUT113</v>
      </c>
      <c r="D214" s="4" t="str">
        <f ca="1">IFERROR(__xludf.DUMMYFUNCTION("""COMPUTED_VALUE"""),"Продление подписки на обновления Mobile SMARTS: Магазин 15 с ЕГАИС, БАЗОВЫЙ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нет он"&amp;"лайна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печать"&amp;"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Продление подписки на обновления Mobile SMARTS: Магазин 15 с ЕГАИС, БАЗОВЫЙ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14" s="4" t="str">
        <f ca="1">IFERROR(__xludf.DUMMYFUNCTION("""COMPUTED_VALUE"""),"Продление подписки на обновления Mobile SMARTS: Магазин 15 с ЕГАИС, БАЗОВЫЙ для «1С: Управление торговлей 11.3»,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Управление торговлей 11.3», для работы с маркированным товаром: алкоголь ЕГАИС и товары по штрихкодам  на 1 (один) год</v>
      </c>
      <c r="F214" s="5">
        <f ca="1">IFERROR(__xludf.DUMMYFUNCTION("""COMPUTED_VALUE"""),2200)</f>
        <v>2200</v>
      </c>
    </row>
    <row r="215" spans="1:6" ht="72" customHeight="1" x14ac:dyDescent="0.2">
      <c r="A215" s="4" t="str">
        <f ca="1">IFERROR(__xludf.DUMMYFUNCTION("""COMPUTED_VALUE"""),"«1С: Управление торговлей 11.3»")</f>
        <v>«1С: Управление торговлей 11.3»</v>
      </c>
      <c r="B215" s="4" t="str">
        <f ca="1">IFERROR(__xludf.DUMMYFUNCTION("""COMPUTED_VALUE"""),"с ЕГАИС, РАСШИРЕННЫЙ")</f>
        <v>с ЕГАИС, РАСШИРЕННЫЙ</v>
      </c>
      <c r="C215" s="4" t="str">
        <f ca="1">IFERROR(__xludf.DUMMYFUNCTION("""COMPUTED_VALUE"""),"SSY1-RTL15BE-1CUT113")</f>
        <v>SSY1-RTL15BE-1CUT113</v>
      </c>
      <c r="D215" s="4" t="str">
        <f ca="1">IFERROR(__xludf.DUMMYFUNCTION("""COMPUTED_VALUE"""),"Продление подписки на обновления Mobile SMARTS: Магазин 15 с ЕГАИС, РАСШИРЕННЫЙ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ес"&amp;"ть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Продление подписки на обновления Mobile SMARTS: Магазин 15 с ЕГАИС, РАСШИРЕННЫЙ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5" s="4" t="str">
        <f ca="1">IFERROR(__xludf.DUMMYFUNCTION("""COMPUTED_VALUE"""),"Продление подписки на обновления Mobile SMARTS: Магазин 15 с ЕГАИС, РАСШИРЕННЫЙ для «1С: Управление торговлей 11.3»,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Управление торговлей 11.3», для работы с маркированным товаром: алкоголь ЕГАИС и товары по штрихкодам  на 1 (один) год</v>
      </c>
      <c r="F215" s="5">
        <f ca="1">IFERROR(__xludf.DUMMYFUNCTION("""COMPUTED_VALUE"""),3490)</f>
        <v>3490</v>
      </c>
    </row>
    <row r="216" spans="1:6" ht="72" customHeight="1" x14ac:dyDescent="0.2">
      <c r="A216" s="4" t="str">
        <f ca="1">IFERROR(__xludf.DUMMYFUNCTION("""COMPUTED_VALUE"""),"«1С: Управление торговлей 11.3»")</f>
        <v>«1С: Управление торговлей 11.3»</v>
      </c>
      <c r="B216" s="4" t="str">
        <f ca="1">IFERROR(__xludf.DUMMYFUNCTION("""COMPUTED_VALUE"""),"с ЕГАИС (без CheckMark2), МЕГАМАРКЕТ")</f>
        <v>с ЕГАИС (без CheckMark2), МЕГАМАРКЕТ</v>
      </c>
      <c r="C216" s="4" t="str">
        <f ca="1">IFERROR(__xludf.DUMMYFUNCTION("""COMPUTED_VALUE"""),"SSY1-RTL15CEV-1CUT113")</f>
        <v>SSY1-RTL15CEV-1CUT113</v>
      </c>
      <c r="D216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чер"&amp;"ез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/"&amp;"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устройство"&amp;",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6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Управление торговлей 11.3», для работы с маркированным товаром: алкоголь ЕГАИС и товары по штрихкодам  на 1 (один) год</v>
      </c>
      <c r="F216" s="5">
        <f ca="1">IFERROR(__xludf.DUMMYFUNCTION("""COMPUTED_VALUE"""),4770)</f>
        <v>4770</v>
      </c>
    </row>
    <row r="217" spans="1:6" ht="72" customHeight="1" x14ac:dyDescent="0.2">
      <c r="A217" s="4" t="str">
        <f ca="1">IFERROR(__xludf.DUMMYFUNCTION("""COMPUTED_VALUE"""),"«1С: Управление торговлей 11.4»")</f>
        <v>«1С: Управление торговлей 11.4»</v>
      </c>
      <c r="B217" s="4" t="str">
        <f ca="1">IFERROR(__xludf.DUMMYFUNCTION("""COMPUTED_VALUE"""),"МИНИМУМ")</f>
        <v>МИНИМУМ</v>
      </c>
      <c r="C217" s="4" t="str">
        <f ca="1">IFERROR(__xludf.DUMMYFUNCTION("""COMPUTED_VALUE"""),"SSY1-RTL15M-1CUT114")</f>
        <v>SSY1-RTL15M-1CUT114</v>
      </c>
      <c r="D217" s="4" t="str">
        <f ca="1">IFERROR(__xludf.DUMMYFUNCTION("""COMPUTED_VALUE"""),"Продление подписки на обновления Mobile SMARTS: Магазин 15, МИНИМУМ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сбор штрихкодов, ин"&amp;"вентаризация,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"&amp;"обмен через Интернет на 1 (один) год")</f>
        <v>Продление подписки на обновления Mobile SMARTS: Магазин 15, МИНИМУМ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17" s="4" t="str">
        <f ca="1">IFERROR(__xludf.DUMMYFUNCTION("""COMPUTED_VALUE"""),"Продление подписки на обновления Mobile SMARTS: Магазин 15, МИНИМУМ для «1С: Управление торговлей 11.4», для работы с товаром по штрихкодам  на 1 (один) год")</f>
        <v>Продление подписки на обновления Mobile SMARTS: Магазин 15, МИНИМУМ для «1С: Управление торговлей 11.4», для работы с товаром по штрихкодам  на 1 (один) год</v>
      </c>
      <c r="F217" s="5">
        <f ca="1">IFERROR(__xludf.DUMMYFUNCTION("""COMPUTED_VALUE"""),690)</f>
        <v>690</v>
      </c>
    </row>
    <row r="218" spans="1:6" ht="72" customHeight="1" x14ac:dyDescent="0.2">
      <c r="A218" s="4" t="str">
        <f ca="1">IFERROR(__xludf.DUMMYFUNCTION("""COMPUTED_VALUE"""),"«1С: Управление торговлей 11.4»")</f>
        <v>«1С: Управление торговлей 11.4»</v>
      </c>
      <c r="B218" s="4" t="str">
        <f ca="1">IFERROR(__xludf.DUMMYFUNCTION("""COMPUTED_VALUE"""),"БАЗОВЫЙ")</f>
        <v>БАЗОВЫЙ</v>
      </c>
      <c r="C218" s="4" t="str">
        <f ca="1">IFERROR(__xludf.DUMMYFUNCTION("""COMPUTED_VALUE"""),"SSY1-RTL15A-1CUT114")</f>
        <v>SSY1-RTL15A-1CUT114</v>
      </c>
      <c r="D218" s="4" t="str">
        <f ca="1">IFERROR(__xludf.DUMMYFUNCTION("""COMPUTED_VALUE"""),"Продление подписки на обновления Mobile SMARTS: Магазин 15, БАЗОВЫЙ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11.4»,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8" s="4" t="str">
        <f ca="1">IFERROR(__xludf.DUMMYFUNCTION("""COMPUTED_VALUE"""),"Продление подписки на обновления Mobile SMARTS: Магазин 15, БАЗОВЫЙ для «1С: Управление торговлей 11.4», для работы с товаром по штрихкодам  на 1 (один) год")</f>
        <v>Продление подписки на обновления Mobile SMARTS: Магазин 15, БАЗОВЫЙ для «1С: Управление торговлей 11.4», для работы с товаром по штрихкодам  на 1 (один) год</v>
      </c>
      <c r="F218" s="5">
        <f ca="1">IFERROR(__xludf.DUMMYFUNCTION("""COMPUTED_VALUE"""),1730)</f>
        <v>1730</v>
      </c>
    </row>
    <row r="219" spans="1:6" ht="72" customHeight="1" x14ac:dyDescent="0.2">
      <c r="A219" s="4" t="str">
        <f ca="1">IFERROR(__xludf.DUMMYFUNCTION("""COMPUTED_VALUE"""),"«1С: Управление торговлей 11.4»")</f>
        <v>«1С: Управление торговлей 11.4»</v>
      </c>
      <c r="B219" s="4" t="str">
        <f ca="1">IFERROR(__xludf.DUMMYFUNCTION("""COMPUTED_VALUE"""),"РАСШИРЕННЫЙ")</f>
        <v>РАСШИРЕННЫЙ</v>
      </c>
      <c r="C219" s="4" t="str">
        <f ca="1">IFERROR(__xludf.DUMMYFUNCTION("""COMPUTED_VALUE"""),"SSY1-RTL15B-1CUT114")</f>
        <v>SSY1-RTL15B-1CUT114</v>
      </c>
      <c r="D219" s="4" t="str">
        <f ca="1">IFERROR(__xludf.DUMMYFUNCTION("""COMPUTED_VALUE"""),"Продление подписки на обновления Mobile SMARTS: Магазин 15, РАСШИРЕННЫЙ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19" s="4" t="str">
        <f ca="1">IFERROR(__xludf.DUMMYFUNCTION("""COMPUTED_VALUE"""),"Продление подписки на обновления Mobile SMARTS: Магазин 15, РАСШИРЕННЫЙ для «1С: Управление торговлей 11.4»,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11.4», для работы с товаром по штрихкодам  на 1 (один) год</v>
      </c>
      <c r="F219" s="5">
        <f ca="1">IFERROR(__xludf.DUMMYFUNCTION("""COMPUTED_VALUE"""),3010)</f>
        <v>3010</v>
      </c>
    </row>
    <row r="220" spans="1:6" ht="72" customHeight="1" x14ac:dyDescent="0.2">
      <c r="A220" s="4" t="str">
        <f ca="1">IFERROR(__xludf.DUMMYFUNCTION("""COMPUTED_VALUE"""),"«1С: Управление торговлей 11.4»")</f>
        <v>«1С: Управление торговлей 11.4»</v>
      </c>
      <c r="B220" s="4" t="str">
        <f ca="1">IFERROR(__xludf.DUMMYFUNCTION("""COMPUTED_VALUE"""),"МЕГАМАРКЕТ")</f>
        <v>МЕГАМАРКЕТ</v>
      </c>
      <c r="C220" s="4" t="str">
        <f ca="1">IFERROR(__xludf.DUMMYFUNCTION("""COMPUTED_VALUE"""),"SSY1-RTL15C-1CUT114")</f>
        <v>SSY1-RTL15C-1CUT114</v>
      </c>
      <c r="D220" s="4" t="str">
        <f ca="1">IFERROR(__xludf.DUMMYFUNCTION("""COMPUTED_VALUE"""),"Продление подписки на обновления Mobile SMARTS: Магазин 15, МЕГАМАРКЕТ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инв"&amp;"ентаризация,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11.4»,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0" s="4" t="str">
        <f ca="1">IFERROR(__xludf.DUMMYFUNCTION("""COMPUTED_VALUE"""),"Продление подписки на обновления Mobile SMARTS: Магазин 15, МЕГАМАРКЕТ для «1С: Управление торговлей 11.4»,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11.4», для работы с товаром по штрихкодам  на 1 (один) год</v>
      </c>
      <c r="F220" s="5">
        <f ca="1">IFERROR(__xludf.DUMMYFUNCTION("""COMPUTED_VALUE"""),4310)</f>
        <v>4310</v>
      </c>
    </row>
    <row r="221" spans="1:6" ht="72" customHeight="1" x14ac:dyDescent="0.2">
      <c r="A221" s="4" t="str">
        <f ca="1">IFERROR(__xludf.DUMMYFUNCTION("""COMPUTED_VALUE"""),"«1С: Управление торговлей 11.4»")</f>
        <v>«1С: Управление торговлей 11.4»</v>
      </c>
      <c r="B221" s="4" t="str">
        <f ca="1">IFERROR(__xludf.DUMMYFUNCTION("""COMPUTED_VALUE"""),"с ЕГАИС, БАЗОВЫЙ")</f>
        <v>с ЕГАИС, БАЗОВЫЙ</v>
      </c>
      <c r="C221" s="4" t="str">
        <f ca="1">IFERROR(__xludf.DUMMYFUNCTION("""COMPUTED_VALUE"""),"SSY1-RTL15AE-1CUT114")</f>
        <v>SSY1-RTL15AE-1CUT114</v>
      </c>
      <c r="D221" s="4" t="str">
        <f ca="1">IFERROR(__xludf.DUMMYFUNCTION("""COMPUTED_VALUE"""),"Продление подписки на обновления Mobile SMARTS: Магазин 15 с ЕГАИС, БАЗОВЫЙ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нет он"&amp;"лайна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печать"&amp;"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Продление подписки на обновления Mobile SMARTS: Магазин 15 с ЕГАИС, БАЗОВЫЙ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21" s="4" t="str">
        <f ca="1">IFERROR(__xludf.DUMMYFUNCTION("""COMPUTED_VALUE"""),"Продление подписки на обновления Mobile SMARTS: Магазин 15 с ЕГАИС, БАЗОВЫЙ для «1С: Управление торговлей 11.4»,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Управление торговлей 11.4», для работы с маркированным товаром: алкоголь ЕГАИС и товары по штрихкодам  на 1 (один) год</v>
      </c>
      <c r="F221" s="5">
        <f ca="1">IFERROR(__xludf.DUMMYFUNCTION("""COMPUTED_VALUE"""),2200)</f>
        <v>2200</v>
      </c>
    </row>
    <row r="222" spans="1:6" ht="72" customHeight="1" x14ac:dyDescent="0.2">
      <c r="A222" s="4" t="str">
        <f ca="1">IFERROR(__xludf.DUMMYFUNCTION("""COMPUTED_VALUE"""),"«1С: Управление торговлей 11.4»")</f>
        <v>«1С: Управление торговлей 11.4»</v>
      </c>
      <c r="B222" s="4" t="str">
        <f ca="1">IFERROR(__xludf.DUMMYFUNCTION("""COMPUTED_VALUE"""),"с ЕГАИС, РАСШИРЕННЫЙ")</f>
        <v>с ЕГАИС, РАСШИРЕННЫЙ</v>
      </c>
      <c r="C222" s="4" t="str">
        <f ca="1">IFERROR(__xludf.DUMMYFUNCTION("""COMPUTED_VALUE"""),"SSY1-RTL15BE-1CUT114")</f>
        <v>SSY1-RTL15BE-1CUT114</v>
      </c>
      <c r="D222" s="4" t="str">
        <f ca="1">IFERROR(__xludf.DUMMYFUNCTION("""COMPUTED_VALUE"""),"Продление подписки на обновления Mobile SMARTS: Магазин 15 с ЕГАИС, РАСШИРЕННЫЙ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ес"&amp;"ть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Продление подписки на обновления Mobile SMARTS: Магазин 15 с ЕГАИС, РАСШИРЕННЫЙ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2" s="4" t="str">
        <f ca="1">IFERROR(__xludf.DUMMYFUNCTION("""COMPUTED_VALUE"""),"Продление подписки на обновления Mobile SMARTS: Магазин 15 с ЕГАИС, РАСШИРЕННЫЙ для «1С: Управление торговлей 11.4»,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Управление торговлей 11.4», для работы с маркированным товаром: алкоголь ЕГАИС и товары по штрихкодам  на 1 (один) год</v>
      </c>
      <c r="F222" s="5">
        <f ca="1">IFERROR(__xludf.DUMMYFUNCTION("""COMPUTED_VALUE"""),3490)</f>
        <v>3490</v>
      </c>
    </row>
    <row r="223" spans="1:6" ht="72" customHeight="1" x14ac:dyDescent="0.2">
      <c r="A223" s="4" t="str">
        <f ca="1">IFERROR(__xludf.DUMMYFUNCTION("""COMPUTED_VALUE"""),"«1С: Управление торговлей 11.4»")</f>
        <v>«1С: Управление торговлей 11.4»</v>
      </c>
      <c r="B223" s="4" t="str">
        <f ca="1">IFERROR(__xludf.DUMMYFUNCTION("""COMPUTED_VALUE"""),"с ЕГАИС (без CheckMark2), МЕГАМАРКЕТ")</f>
        <v>с ЕГАИС (без CheckMark2), МЕГАМАРКЕТ</v>
      </c>
      <c r="C223" s="4" t="str">
        <f ca="1">IFERROR(__xludf.DUMMYFUNCTION("""COMPUTED_VALUE"""),"SSY1-RTL15CEV-1CUT114")</f>
        <v>SSY1-RTL15CEV-1CUT114</v>
      </c>
      <c r="D223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чер"&amp;"ез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/"&amp;"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устройство"&amp;",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3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Управление торговлей 11.4», для работы с маркированным товаром: алкоголь ЕГАИС и товары по штрихкодам  на 1 (один) год</v>
      </c>
      <c r="F223" s="5">
        <f ca="1">IFERROR(__xludf.DUMMYFUNCTION("""COMPUTED_VALUE"""),4770)</f>
        <v>4770</v>
      </c>
    </row>
    <row r="224" spans="1:6" ht="72" customHeight="1" x14ac:dyDescent="0.2">
      <c r="A224" s="4" t="str">
        <f ca="1">IFERROR(__xludf.DUMMYFUNCTION("""COMPUTED_VALUE"""),"«1С: Управление торговлей 11.4.10»")</f>
        <v>«1С: Управление торговлей 11.4.10»</v>
      </c>
      <c r="B224" s="4" t="str">
        <f ca="1">IFERROR(__xludf.DUMMYFUNCTION("""COMPUTED_VALUE"""),"с МОТП, БАЗОВЫЙ")</f>
        <v>с МОТП, БАЗОВЫЙ</v>
      </c>
      <c r="C224" s="4" t="str">
        <f ca="1">IFERROR(__xludf.DUMMYFUNCTION("""COMPUTED_VALUE"""),"SSY1-RTL15AT-1CUT114")</f>
        <v>SSY1-RTL15AT-1CUT114</v>
      </c>
      <c r="D224" s="4" t="str">
        <f ca="1">IFERROR(__xludf.DUMMYFUNCTION("""COMPUTED_VALUE"""),"Продление подписки на обновления Mobile SMARTS: Магазин 15 с МОТП, БАЗОВЫЙ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нет онлайна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МОТП, БАЗОВЫЙ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4" s="4" t="str">
        <f ca="1">IFERROR(__xludf.DUMMYFUNCTION("""COMPUTED_VALUE"""),"Продление подписки на обновления Mobile SMARTS: Магазин 15 с МОТП, БАЗОВЫЙ для «1С: Управление торговлей 11.4.10»,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Управление торговлей 11.4.10», для работы с маркированным товаром: ТАБАК и товары по штрихкодам  на 1 (один) год</v>
      </c>
      <c r="F224" s="5">
        <f ca="1">IFERROR(__xludf.DUMMYFUNCTION("""COMPUTED_VALUE"""),2230)</f>
        <v>2230</v>
      </c>
    </row>
    <row r="225" spans="1:6" ht="72" customHeight="1" x14ac:dyDescent="0.2">
      <c r="A225" s="4" t="str">
        <f ca="1">IFERROR(__xludf.DUMMYFUNCTION("""COMPUTED_VALUE"""),"«1С: Управление торговлей 11.4.10»")</f>
        <v>«1С: Управление торговлей 11.4.10»</v>
      </c>
      <c r="B225" s="4" t="str">
        <f ca="1">IFERROR(__xludf.DUMMYFUNCTION("""COMPUTED_VALUE"""),"с МОТП, РАСШИРЕННЫЙ")</f>
        <v>с МОТП, РАСШИРЕННЫЙ</v>
      </c>
      <c r="C225" s="4" t="str">
        <f ca="1">IFERROR(__xludf.DUMMYFUNCTION("""COMPUTED_VALUE"""),"SSY1-RTL15BT-1CUT114")</f>
        <v>SSY1-RTL15BT-1CUT114</v>
      </c>
      <c r="D225" s="4" t="str">
        <f ca="1">IFERROR(__xludf.DUMMYFUNCTION("""COMPUTED_VALUE"""),"Продление подписки на обновления Mobile SMARTS: Магазин 15 с МОТП, РАСШИРЕННЫЙ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Продление подписки на обновления Mobile SMARTS: Магазин 15 с МОТП, РАСШИРЕННЫЙ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5" s="4" t="str">
        <f ca="1">IFERROR(__xludf.DUMMYFUNCTION("""COMPUTED_VALUE"""),"Продление подписки на обновления Mobile SMARTS: Магазин 15 с МОТП, РАСШИРЕННЫЙ для «1С: Управление торговлей 11.4.10»,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Управление торговлей 11.4.10», для работы с маркированным товаром: ТАБАК и товары по штрихкодам  на 1 (один) год</v>
      </c>
      <c r="F225" s="5">
        <f ca="1">IFERROR(__xludf.DUMMYFUNCTION("""COMPUTED_VALUE"""),3490)</f>
        <v>3490</v>
      </c>
    </row>
    <row r="226" spans="1:6" ht="72" customHeight="1" x14ac:dyDescent="0.2">
      <c r="A226" s="4" t="str">
        <f ca="1">IFERROR(__xludf.DUMMYFUNCTION("""COMPUTED_VALUE"""),"«1С: Управление торговлей 11.4.10»")</f>
        <v>«1С: Управление торговлей 11.4.10»</v>
      </c>
      <c r="B226" s="4" t="str">
        <f ca="1">IFERROR(__xludf.DUMMYFUNCTION("""COMPUTED_VALUE"""),"с МОТП, МЕГАМАРКЕТ")</f>
        <v>с МОТП, МЕГАМАРКЕТ</v>
      </c>
      <c r="C226" s="4" t="str">
        <f ca="1">IFERROR(__xludf.DUMMYFUNCTION("""COMPUTED_VALUE"""),"SSY1-RTL15CT-1CUT114")</f>
        <v>SSY1-RTL15CT-1CUT114</v>
      </c>
      <c r="D226" s="4" t="str">
        <f ca="1">IFERROR(__xludf.DUMMYFUNCTION("""COMPUTED_VALUE"""),"Продление подписки на обновления Mobile SMARTS: Магазин 15 с МОТП, МЕГАМАРКЕТ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Продление подписки на обновления Mobile SMARTS: Магазин 15 с МОТП, МЕГАМАРКЕТ для «1С: Управление торговлей 11.4.10»,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6" s="4" t="str">
        <f ca="1">IFERROR(__xludf.DUMMYFUNCTION("""COMPUTED_VALUE"""),"Продление подписки на обновления Mobile SMARTS: Магазин 15 с МОТП, МЕГАМАРКЕТ для «1С: Управление торговлей 11.4.10»,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Управление торговлей 11.4.10», для работы с маркированным товаром: ТАБАК и товары по штрихкодам  на 1 (один) год</v>
      </c>
      <c r="F226" s="5">
        <f ca="1">IFERROR(__xludf.DUMMYFUNCTION("""COMPUTED_VALUE"""),4770)</f>
        <v>4770</v>
      </c>
    </row>
    <row r="227" spans="1:6" ht="72" customHeight="1" x14ac:dyDescent="0.2">
      <c r="A227" s="4" t="str">
        <f ca="1">IFERROR(__xludf.DUMMYFUNCTION("""COMPUTED_VALUE"""),"«1С: Управление торговлей 11.4.10»")</f>
        <v>«1С: Управление торговлей 11.4.10»</v>
      </c>
      <c r="B227" s="4" t="str">
        <f ca="1">IFERROR(__xludf.DUMMYFUNCTION("""COMPUTED_VALUE"""),"с ЕГАИС и МОТП, БАЗОВЫЙ")</f>
        <v>с ЕГАИС и МОТП, БАЗОВЫЙ</v>
      </c>
      <c r="C227" s="4" t="str">
        <f ca="1">IFERROR(__xludf.DUMMYFUNCTION("""COMPUTED_VALUE"""),"SSY1-RTL15AET-1CUT114")</f>
        <v>SSY1-RTL15AET-1CUT114</v>
      </c>
      <c r="D227" s="4" t="str">
        <f ca="1">IFERROR(__xludf.DUMMYFUNCTION("""COMPUTED_VALUE"""),"Продление подписки на обновления Mobile SMARTS: Магазин 15 с ЕГАИС и МОТП, БАЗОВЫЙ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Интерн"&amp;"ет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отгр"&amp;"узка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7" s="4" t="str">
        <f ca="1">IFERROR(__xludf.DUMMYFUNCTION("""COMPUTED_VALUE"""),"Продление подписки на обновления Mobile SMARTS: Магазин 15 с ЕГАИС и МОТП, БАЗОВЫЙ для «1С: Управление торговлей 11.4.10»,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Управление торговлей 11.4.10», для работы с маркированным товаром: АЛКОГОЛЬ, ТАБАК и товары по штрихкодам  на 1 (один) год</v>
      </c>
      <c r="F227" s="5">
        <f ca="1">IFERROR(__xludf.DUMMYFUNCTION("""COMPUTED_VALUE"""),2430)</f>
        <v>2430</v>
      </c>
    </row>
    <row r="228" spans="1:6" ht="72" customHeight="1" x14ac:dyDescent="0.2">
      <c r="A228" s="4" t="str">
        <f ca="1">IFERROR(__xludf.DUMMYFUNCTION("""COMPUTED_VALUE"""),"«1С: Управление торговлей 11.4.10»")</f>
        <v>«1С: Управление торговлей 11.4.10»</v>
      </c>
      <c r="B228" s="4" t="str">
        <f ca="1">IFERROR(__xludf.DUMMYFUNCTION("""COMPUTED_VALUE"""),"с ЕГАИС и МОТП, РАСШИРЕННЫЙ")</f>
        <v>с ЕГАИС и МОТП, РАСШИРЕННЫЙ</v>
      </c>
      <c r="C228" s="4" t="str">
        <f ca="1">IFERROR(__xludf.DUMMYFUNCTION("""COMPUTED_VALUE"""),"SSY1-RTL15BET-1CUT114")</f>
        <v>SSY1-RTL15BET-1CUT114</v>
      </c>
      <c r="D228" s="4" t="str">
        <f ca="1">IFERROR(__xludf.DUMMYFUNCTION("""COMPUTED_VALUE"""),"Продление подписки на обновления 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Ин"&amp;"тернет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"&amp;"отгрузка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8" s="4" t="str">
        <f ca="1">IFERROR(__xludf.DUMMYFUNCTION("""COMPUTED_VALUE"""),"Продление подписки на обновления 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Управление торговлей 11.4.10», для работы с маркированным товаром: АЛКОГОЛЬ, ТАБАК и товары по штрихкодам  на 1 (один) год</v>
      </c>
      <c r="F228" s="5">
        <f ca="1">IFERROR(__xludf.DUMMYFUNCTION("""COMPUTED_VALUE"""),3710)</f>
        <v>3710</v>
      </c>
    </row>
    <row r="229" spans="1:6" ht="72" customHeight="1" x14ac:dyDescent="0.2">
      <c r="A229" s="4" t="str">
        <f ca="1">IFERROR(__xludf.DUMMYFUNCTION("""COMPUTED_VALUE"""),"«1С: Управление торговлей 11.4.10»")</f>
        <v>«1С: Управление торговлей 11.4.10»</v>
      </c>
      <c r="B229" s="4" t="str">
        <f ca="1">IFERROR(__xludf.DUMMYFUNCTION("""COMPUTED_VALUE"""),"с ЕГАИС и МОТП, МЕГАМАРКЕТ")</f>
        <v>с ЕГАИС и МОТП, МЕГАМАРКЕТ</v>
      </c>
      <c r="C229" s="4" t="str">
        <f ca="1">IFERROR(__xludf.DUMMYFUNCTION("""COMPUTED_VALUE"""),"SSY1-RTL15CET-1CUT114")</f>
        <v>SSY1-RTL15CET-1CUT114</v>
      </c>
      <c r="D229" s="4" t="str">
        <f ca="1">IFERROR(__xludf.DUMMYFUNCTION("""COMPUTED_VALUE"""),"Продление подписки на обновления 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Инт"&amp;"ернет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о"&amp;"тгрузка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29" s="4" t="str">
        <f ca="1">IFERROR(__xludf.DUMMYFUNCTION("""COMPUTED_VALUE"""),"Продление подписки на обновления 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Управление торговлей 11.4.10», для работы с маркированным товаром: АЛКОГОЛЬ, ТАБАК и товары по штрихкодам  на 1 (один) год</v>
      </c>
      <c r="F229" s="5">
        <f ca="1">IFERROR(__xludf.DUMMYFUNCTION("""COMPUTED_VALUE"""),5270)</f>
        <v>5270</v>
      </c>
    </row>
    <row r="230" spans="1:6" ht="72" customHeight="1" x14ac:dyDescent="0.2">
      <c r="A230" s="4" t="str">
        <f ca="1">IFERROR(__xludf.DUMMYFUNCTION("""COMPUTED_VALUE"""),"«1С: Управление торговлей 11.4.10»")</f>
        <v>«1С: Управление торговлей 11.4.10»</v>
      </c>
      <c r="B230" s="4" t="str">
        <f ca="1">IFERROR(__xludf.DUMMYFUNCTION("""COMPUTED_VALUE"""),"ШМОТКИ, БАЗОВЫЙ")</f>
        <v>ШМОТКИ, БАЗОВЫЙ</v>
      </c>
      <c r="C230" s="4" t="str">
        <f ca="1">IFERROR(__xludf.DUMMYFUNCTION("""COMPUTED_VALUE"""),"SSY1-RTL15AK-1CUT114")</f>
        <v>SSY1-RTL15AK-1CUT114</v>
      </c>
      <c r="D230" s="4" t="str">
        <f ca="1">IFERROR(__xludf.DUMMYFUNCTION("""COMPUTED_VALUE"""),"Продление подписки на обновления 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Ин"&amp;"тернет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"&amp;"настройки,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и обмен через Интернет на 1 (один) год")</f>
        <v>Продление подписки на обновления 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0" s="4" t="str">
        <f ca="1">IFERROR(__xludf.DUMMYFUNCTION("""COMPUTED_VALUE"""),"Продление подписки на обновления 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Управление торговлей 11.4.10», для работы с маркированным товаром: ОБУВЬ, ОДЕЖДА, ПАРФЮМ, ШИНЫ и товары по штрихкодам  на 1 (один) год</v>
      </c>
      <c r="F230" s="5">
        <f ca="1">IFERROR(__xludf.DUMMYFUNCTION("""COMPUTED_VALUE"""),2430)</f>
        <v>2430</v>
      </c>
    </row>
    <row r="231" spans="1:6" ht="72" customHeight="1" x14ac:dyDescent="0.2">
      <c r="A231" s="4" t="str">
        <f ca="1">IFERROR(__xludf.DUMMYFUNCTION("""COMPUTED_VALUE"""),"«1С: Управление торговлей 11.4.10»")</f>
        <v>«1С: Управление торговлей 11.4.10»</v>
      </c>
      <c r="B231" s="4" t="str">
        <f ca="1">IFERROR(__xludf.DUMMYFUNCTION("""COMPUTED_VALUE"""),"ШМОТКИ, РАСШИРЕННЫЙ")</f>
        <v>ШМОТКИ, РАСШИРЕННЫЙ</v>
      </c>
      <c r="C231" s="4" t="str">
        <f ca="1">IFERROR(__xludf.DUMMYFUNCTION("""COMPUTED_VALUE"""),"SSY1-RTL15BK-1CUT114")</f>
        <v>SSY1-RTL15BK-1CUT114</v>
      </c>
      <c r="D231" s="4" t="str">
        <f ca="1">IFERROR(__xludf.DUMMYFUNCTION("""COMPUTED_VALUE"""),"Продление подписки на обновления 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чере"&amp;"з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справочник"&amp;"ов,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и обмен через Интернет на 1 (один) год")</f>
        <v>Продление подписки на обновления 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1" s="4" t="str">
        <f ca="1">IFERROR(__xludf.DUMMYFUNCTION("""COMPUTED_VALUE"""),"Продление подписки на обновления 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«1С: Управление торговлей 11.4.10», для работы с маркированным товаром: ОБУВЬ, ОДЕЖДА, ПАРФЮМ, ШИНЫ и товары по штрихкодам  на 1 (один) год</v>
      </c>
      <c r="F231" s="5">
        <f ca="1">IFERROR(__xludf.DUMMYFUNCTION("""COMPUTED_VALUE"""),3710)</f>
        <v>3710</v>
      </c>
    </row>
    <row r="232" spans="1:6" ht="72" customHeight="1" x14ac:dyDescent="0.2">
      <c r="A232" s="4" t="str">
        <f ca="1">IFERROR(__xludf.DUMMYFUNCTION("""COMPUTED_VALUE"""),"«1С: Управление торговлей 11.4.10»")</f>
        <v>«1С: Управление торговлей 11.4.10»</v>
      </c>
      <c r="B232" s="4" t="str">
        <f ca="1">IFERROR(__xludf.DUMMYFUNCTION("""COMPUTED_VALUE"""),"ШМОТКИ, МЕГАМАРКЕТ")</f>
        <v>ШМОТКИ, МЕГАМАРКЕТ</v>
      </c>
      <c r="C232" s="4" t="str">
        <f ca="1">IFERROR(__xludf.DUMMYFUNCTION("""COMPUTED_VALUE"""),"SSY1-RTL15CK-1CUT114")</f>
        <v>SSY1-RTL15CK-1CUT114</v>
      </c>
      <c r="D232" s="4" t="str">
        <f ca="1">IFERROR(__xludf.DUMMYFUNCTION("""COMPUTED_VALUE"""),"Продление подписки на обновления 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через"&amp;"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справочнико"&amp;"в,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устро"&amp;"йство, подписка на обновления и обмен через Интернет на 1 (один) год")</f>
        <v>Продление подписки на обновления 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2" s="4" t="str">
        <f ca="1">IFERROR(__xludf.DUMMYFUNCTION("""COMPUTED_VALUE"""),"Продление подписки на обновления 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«1С: Управление торговлей 11.4.10», для работы с маркированным товаром: ОБУВЬ, ОДЕЖДА, ПАРФЮМ, ШИНЫ и товары по штрихкодам  на 1 (один) год</v>
      </c>
      <c r="F232" s="5">
        <f ca="1">IFERROR(__xludf.DUMMYFUNCTION("""COMPUTED_VALUE"""),5270)</f>
        <v>5270</v>
      </c>
    </row>
    <row r="233" spans="1:6" ht="72" customHeight="1" x14ac:dyDescent="0.2">
      <c r="A233" s="4" t="str">
        <f ca="1">IFERROR(__xludf.DUMMYFUNCTION("""COMPUTED_VALUE"""),"«1С: Управление торговлей 11.4.10»")</f>
        <v>«1С: Управление торговлей 11.4.10»</v>
      </c>
      <c r="B233" s="4" t="str">
        <f ca="1">IFERROR(__xludf.DUMMYFUNCTION("""COMPUTED_VALUE"""),"ПРОДУКТОВЫЙ, БАЗОВЫЙ")</f>
        <v>ПРОДУКТОВЫЙ, БАЗОВЫЙ</v>
      </c>
      <c r="C233" s="4" t="str">
        <f ca="1">IFERROR(__xludf.DUMMYFUNCTION("""COMPUTED_VALUE"""),"SSY1-RTL15AG-1CUT114")</f>
        <v>SSY1-RTL15AG-1CUT114</v>
      </c>
      <c r="D233" s="4" t="str">
        <f ca="1">IFERROR(__xludf.DUMMYFUNCTION("""COMPUTED_VALUE"""),"Продление подписки на обновления 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п"&amp;"роводной,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"&amp;"списание,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3" s="4" t="str">
        <f ca="1">IFERROR(__xludf.DUMMYFUNCTION("""COMPUTED_VALUE"""),"Продление подписки на обновления 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 на 1 (один)"&amp;" год")</f>
        <v>Продление подписки на обновления Mobile SMARTS: Магазин 15 ПРОДУКТОВЫЙ, БАЗОВЫЙ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 на 1 (один) год</v>
      </c>
      <c r="F233" s="5">
        <f ca="1">IFERROR(__xludf.DUMMYFUNCTION("""COMPUTED_VALUE"""),2910)</f>
        <v>2910</v>
      </c>
    </row>
    <row r="234" spans="1:6" ht="72" customHeight="1" x14ac:dyDescent="0.2">
      <c r="A234" s="4" t="str">
        <f ca="1">IFERROR(__xludf.DUMMYFUNCTION("""COMPUTED_VALUE"""),"«1С: Управление торговлей 11.4.10»")</f>
        <v>«1С: Управление торговлей 11.4.10»</v>
      </c>
      <c r="B234" s="4" t="str">
        <f ca="1">IFERROR(__xludf.DUMMYFUNCTION("""COMPUTED_VALUE"""),"ПРОДУКТОВЫЙ, РАСШИРЕННЫЙ")</f>
        <v>ПРОДУКТОВЫЙ, РАСШИРЕННЫЙ</v>
      </c>
      <c r="C234" s="4" t="str">
        <f ca="1">IFERROR(__xludf.DUMMYFUNCTION("""COMPUTED_VALUE"""),"SSY1-RTL15BG-1CUT114")</f>
        <v>SSY1-RTL15BG-1CUT114</v>
      </c>
      <c r="D234" s="4" t="str">
        <f ca="1">IFERROR(__xludf.DUMMYFUNCTION("""COMPUTED_VALUE"""),"Продление подписки на обновления 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4" s="4" t="str">
        <f ca="1">IFERROR(__xludf.DUMMYFUNCTION("""COMPUTED_VALUE"""),"Продление подписки на обновления 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 на 1 (о"&amp;"дин) год")</f>
        <v>Продление подписки на обновления Mobile SMARTS: Магазин 15 ПРОДУКТОВЫЙ, РАСШИРЕННЫЙ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 на 1 (один) год</v>
      </c>
      <c r="F234" s="5">
        <f ca="1">IFERROR(__xludf.DUMMYFUNCTION("""COMPUTED_VALUE"""),4190)</f>
        <v>4190</v>
      </c>
    </row>
    <row r="235" spans="1:6" ht="72" customHeight="1" x14ac:dyDescent="0.2">
      <c r="A235" s="4" t="str">
        <f ca="1">IFERROR(__xludf.DUMMYFUNCTION("""COMPUTED_VALUE"""),"«1С: Управление торговлей 11.4.10»")</f>
        <v>«1С: Управление торговлей 11.4.10»</v>
      </c>
      <c r="B235" s="4" t="str">
        <f ca="1">IFERROR(__xludf.DUMMYFUNCTION("""COMPUTED_VALUE"""),"ПРОДУКТОВЫЙ, МЕГАМАРКЕТ")</f>
        <v>ПРОДУКТОВЫЙ, МЕГАМАРКЕТ</v>
      </c>
      <c r="C235" s="4" t="str">
        <f ca="1">IFERROR(__xludf.DUMMYFUNCTION("""COMPUTED_VALUE"""),"SSY1-RTL15CG-1CUT114")</f>
        <v>SSY1-RTL15CG-1CUT114</v>
      </c>
      <c r="D235" s="4" t="str">
        <f ca="1">IFERROR(__xludf.DUMMYFUNCTION("""COMPUTED_VALUE"""),"Продление подписки на обновления 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выбо"&amp;"р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5" s="4" t="str">
        <f ca="1">IFERROR(__xludf.DUMMYFUNCTION("""COMPUTED_VALUE"""),"Продление подписки на обновления 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 на 1 (од"&amp;"ин) год")</f>
        <v>Продление подписки на обновления Mobile SMARTS: Магазин 15 ПРОДУКТОВЫЙ, МЕГАМАРКЕТ для «1С: Управление торговлей 11.4.10», для работы с маркированным товаром: АЛКОГОЛЬ, ПИВО, ТАБАК, МОЛОКО, ВОДА, ОДЕЖДА, ОБУВЬ, ДУХИ, ШИНЫ и товаром по штрихкодам  на 1 (один) год</v>
      </c>
      <c r="F235" s="5">
        <f ca="1">IFERROR(__xludf.DUMMYFUNCTION("""COMPUTED_VALUE"""),5650)</f>
        <v>5650</v>
      </c>
    </row>
    <row r="236" spans="1:6" ht="72" customHeight="1" x14ac:dyDescent="0.2">
      <c r="A236" s="4" t="str">
        <f ca="1">IFERROR(__xludf.DUMMYFUNCTION("""COMPUTED_VALUE"""),"«1С: Управление торговлей 11.5»")</f>
        <v>«1С: Управление торговлей 11.5»</v>
      </c>
      <c r="B236" s="4" t="str">
        <f ca="1">IFERROR(__xludf.DUMMYFUNCTION("""COMPUTED_VALUE"""),"МИНИМУМ")</f>
        <v>МИНИМУМ</v>
      </c>
      <c r="C236" s="4" t="str">
        <f ca="1">IFERROR(__xludf.DUMMYFUNCTION("""COMPUTED_VALUE"""),"SSY1-RTL15M-1CUT115")</f>
        <v>SSY1-RTL15M-1CUT115</v>
      </c>
      <c r="D236" s="4" t="str">
        <f ca="1">IFERROR(__xludf.DUMMYFUNCTION("""COMPUTED_VALUE"""),"Продление подписки на обновления Mobile SMARTS: Магазин 15, МИНИМУМ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сбор штрихкодов, ин"&amp;"вентаризация,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"&amp;"обмен через Интернет на 1 (один) год")</f>
        <v>Продление подписки на обновления Mobile SMARTS: Магазин 15, МИНИМУМ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36" s="4" t="str">
        <f ca="1">IFERROR(__xludf.DUMMYFUNCTION("""COMPUTED_VALUE"""),"Продление подписки на обновления Mobile SMARTS: Магазин 15, МИНИМУМ для «1С: Управление торговлей 11.5», для работы с товаром по штрихкодам  на 1 (один) год")</f>
        <v>Продление подписки на обновления Mobile SMARTS: Магазин 15, МИНИМУМ для «1С: Управление торговлей 11.5», для работы с товаром по штрихкодам  на 1 (один) год</v>
      </c>
      <c r="F236" s="5">
        <f ca="1">IFERROR(__xludf.DUMMYFUNCTION("""COMPUTED_VALUE"""),690)</f>
        <v>690</v>
      </c>
    </row>
    <row r="237" spans="1:6" ht="72" customHeight="1" x14ac:dyDescent="0.2">
      <c r="A237" s="4" t="str">
        <f ca="1">IFERROR(__xludf.DUMMYFUNCTION("""COMPUTED_VALUE"""),"«1С: Управление торговлей 11.5»")</f>
        <v>«1С: Управление торговлей 11.5»</v>
      </c>
      <c r="B237" s="4" t="str">
        <f ca="1">IFERROR(__xludf.DUMMYFUNCTION("""COMPUTED_VALUE"""),"БАЗОВЫЙ")</f>
        <v>БАЗОВЫЙ</v>
      </c>
      <c r="C237" s="4" t="str">
        <f ca="1">IFERROR(__xludf.DUMMYFUNCTION("""COMPUTED_VALUE"""),"SSY1-RTL15A-1CUT115")</f>
        <v>SSY1-RTL15A-1CUT115</v>
      </c>
      <c r="D237" s="4" t="str">
        <f ca="1">IFERROR(__xludf.DUMMYFUNCTION("""COMPUTED_VALUE"""),"Продление подписки на обновления Mobile SMARTS: Магазин 15, БАЗОВЫЙ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11.5»,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7" s="4" t="str">
        <f ca="1">IFERROR(__xludf.DUMMYFUNCTION("""COMPUTED_VALUE"""),"Продление подписки на обновления Mobile SMARTS: Магазин 15, БАЗОВЫЙ для «1С: Управление торговлей 11.5», для работы с товаром по штрихкодам  на 1 (один) год")</f>
        <v>Продление подписки на обновления Mobile SMARTS: Магазин 15, БАЗОВЫЙ для «1С: Управление торговлей 11.5», для работы с товаром по штрихкодам  на 1 (один) год</v>
      </c>
      <c r="F237" s="5">
        <f ca="1">IFERROR(__xludf.DUMMYFUNCTION("""COMPUTED_VALUE"""),1730)</f>
        <v>1730</v>
      </c>
    </row>
    <row r="238" spans="1:6" ht="72" customHeight="1" x14ac:dyDescent="0.2">
      <c r="A238" s="4" t="str">
        <f ca="1">IFERROR(__xludf.DUMMYFUNCTION("""COMPUTED_VALUE"""),"«1С: Управление торговлей 11.5»")</f>
        <v>«1С: Управление торговлей 11.5»</v>
      </c>
      <c r="B238" s="4" t="str">
        <f ca="1">IFERROR(__xludf.DUMMYFUNCTION("""COMPUTED_VALUE"""),"РАСШИРЕННЫЙ")</f>
        <v>РАСШИРЕННЫЙ</v>
      </c>
      <c r="C238" s="4" t="str">
        <f ca="1">IFERROR(__xludf.DUMMYFUNCTION("""COMPUTED_VALUE"""),"SSY1-RTL15B-1CUT115")</f>
        <v>SSY1-RTL15B-1CUT115</v>
      </c>
      <c r="D238" s="4" t="str">
        <f ca="1">IFERROR(__xludf.DUMMYFUNCTION("""COMPUTED_VALUE"""),"Продление подписки на обновления Mobile SMARTS: Магазин 15, РАСШИРЕННЫЙ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8" s="4" t="str">
        <f ca="1">IFERROR(__xludf.DUMMYFUNCTION("""COMPUTED_VALUE"""),"Продление подписки на обновления Mobile SMARTS: Магазин 15, РАСШИРЕННЫЙ для «1С: Управление торговлей 11.5»,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11.5», для работы с товаром по штрихкодам  на 1 (один) год</v>
      </c>
      <c r="F238" s="5">
        <f ca="1">IFERROR(__xludf.DUMMYFUNCTION("""COMPUTED_VALUE"""),3010)</f>
        <v>3010</v>
      </c>
    </row>
    <row r="239" spans="1:6" ht="72" customHeight="1" x14ac:dyDescent="0.2">
      <c r="A239" s="4" t="str">
        <f ca="1">IFERROR(__xludf.DUMMYFUNCTION("""COMPUTED_VALUE"""),"«1С: Управление торговлей 11.5»")</f>
        <v>«1С: Управление торговлей 11.5»</v>
      </c>
      <c r="B239" s="4" t="str">
        <f ca="1">IFERROR(__xludf.DUMMYFUNCTION("""COMPUTED_VALUE"""),"МЕГАМАРКЕТ")</f>
        <v>МЕГАМАРКЕТ</v>
      </c>
      <c r="C239" s="4" t="str">
        <f ca="1">IFERROR(__xludf.DUMMYFUNCTION("""COMPUTED_VALUE"""),"SSY1-RTL15C-1CUT115")</f>
        <v>SSY1-RTL15C-1CUT115</v>
      </c>
      <c r="D239" s="4" t="str">
        <f ca="1">IFERROR(__xludf.DUMMYFUNCTION("""COMPUTED_VALUE"""),"Продление подписки на обновления Mobile SMARTS: Магазин 15, МЕГАМАРКЕТ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инв"&amp;"ентаризация,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контраге"&amp;"нтах,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11.5»,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39" s="4" t="str">
        <f ca="1">IFERROR(__xludf.DUMMYFUNCTION("""COMPUTED_VALUE"""),"Продление подписки на обновления Mobile SMARTS: Магазин 15, МЕГАМАРКЕТ для «1С: Управление торговлей 11.5»,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11.5», для работы с товаром по штрихкодам  на 1 (один) год</v>
      </c>
      <c r="F239" s="5">
        <f ca="1">IFERROR(__xludf.DUMMYFUNCTION("""COMPUTED_VALUE"""),4310)</f>
        <v>4310</v>
      </c>
    </row>
    <row r="240" spans="1:6" ht="72" customHeight="1" x14ac:dyDescent="0.2">
      <c r="A240" s="4" t="str">
        <f ca="1">IFERROR(__xludf.DUMMYFUNCTION("""COMPUTED_VALUE"""),"«1С: Управление торговлей 11.5»")</f>
        <v>«1С: Управление торговлей 11.5»</v>
      </c>
      <c r="B240" s="4" t="str">
        <f ca="1">IFERROR(__xludf.DUMMYFUNCTION("""COMPUTED_VALUE"""),"с ЕГАИС, БАЗОВЫЙ")</f>
        <v>с ЕГАИС, БАЗОВЫЙ</v>
      </c>
      <c r="C240" s="4" t="str">
        <f ca="1">IFERROR(__xludf.DUMMYFUNCTION("""COMPUTED_VALUE"""),"SSY1-RTL15AE-1CUT115")</f>
        <v>SSY1-RTL15AE-1CUT115</v>
      </c>
      <c r="D240" s="4" t="str">
        <f ca="1">IFERROR(__xludf.DUMMYFUNCTION("""COMPUTED_VALUE"""),"Продление подписки на обновления Mobile SMARTS: Магазин 15 с ЕГАИС, БАЗОВЫЙ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нет он"&amp;"лайна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печать"&amp;"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Интерн"&amp;"ет на 1 (один) год")</f>
        <v>Продление подписки на обновления Mobile SMARTS: Магазин 15 с ЕГАИС, БАЗОВЫЙ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40" s="4" t="str">
        <f ca="1">IFERROR(__xludf.DUMMYFUNCTION("""COMPUTED_VALUE"""),"Продление подписки на обновления Mobile SMARTS: Магазин 15 с ЕГАИС, БАЗОВЫЙ для «1С: Управление торговлей 11.5»,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«1С: Управление торговлей 11.5», для работы с маркированным товаром: алкоголь ЕГАИС и товары по штрихкодам  на 1 (один) год</v>
      </c>
      <c r="F240" s="5">
        <f ca="1">IFERROR(__xludf.DUMMYFUNCTION("""COMPUTED_VALUE"""),2200)</f>
        <v>2200</v>
      </c>
    </row>
    <row r="241" spans="1:6" ht="72" customHeight="1" x14ac:dyDescent="0.2">
      <c r="A241" s="4" t="str">
        <f ca="1">IFERROR(__xludf.DUMMYFUNCTION("""COMPUTED_VALUE"""),"«1С: Управление торговлей 11.5»")</f>
        <v>«1С: Управление торговлей 11.5»</v>
      </c>
      <c r="B241" s="4" t="str">
        <f ca="1">IFERROR(__xludf.DUMMYFUNCTION("""COMPUTED_VALUE"""),"с ЕГАИС, РАСШИРЕННЫЙ")</f>
        <v>с ЕГАИС, РАСШИРЕННЫЙ</v>
      </c>
      <c r="C241" s="4" t="str">
        <f ca="1">IFERROR(__xludf.DUMMYFUNCTION("""COMPUTED_VALUE"""),"SSY1-RTL15BE-1CUT115")</f>
        <v>SSY1-RTL15BE-1CUT115</v>
      </c>
      <c r="D241" s="4" t="str">
        <f ca="1">IFERROR(__xludf.DUMMYFUNCTION("""COMPUTED_VALUE"""),"Продление подписки на обновления Mobile SMARTS: Магазин 15 с ЕГАИС, РАСШИРЕННЫЙ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ес"&amp;"ть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Продление подписки на обновления Mobile SMARTS: Магазин 15 с ЕГАИС, РАСШИРЕННЫЙ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1" s="4" t="str">
        <f ca="1">IFERROR(__xludf.DUMMYFUNCTION("""COMPUTED_VALUE"""),"Продление подписки на обновления Mobile SMARTS: Магазин 15 с ЕГАИС, РАСШИРЕННЫЙ для «1С: Управление торговлей 11.5»,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«1С: Управление торговлей 11.5», для работы с маркированным товаром: алкоголь ЕГАИС и товары по штрихкодам  на 1 (один) год</v>
      </c>
      <c r="F241" s="5">
        <f ca="1">IFERROR(__xludf.DUMMYFUNCTION("""COMPUTED_VALUE"""),3490)</f>
        <v>3490</v>
      </c>
    </row>
    <row r="242" spans="1:6" ht="72" customHeight="1" x14ac:dyDescent="0.2">
      <c r="A242" s="4" t="str">
        <f ca="1">IFERROR(__xludf.DUMMYFUNCTION("""COMPUTED_VALUE"""),"«1С: Управление торговлей 11.5»")</f>
        <v>«1С: Управление торговлей 11.5»</v>
      </c>
      <c r="B242" s="4" t="str">
        <f ca="1">IFERROR(__xludf.DUMMYFUNCTION("""COMPUTED_VALUE"""),"с ЕГАИС (без CheckMark2), МЕГАМАРКЕТ")</f>
        <v>с ЕГАИС (без CheckMark2), МЕГАМАРКЕТ</v>
      </c>
      <c r="C242" s="4" t="str">
        <f ca="1">IFERROR(__xludf.DUMMYFUNCTION("""COMPUTED_VALUE"""),"SSY1-RTL15CEV-1CUT115")</f>
        <v>SSY1-RTL15CEV-1CUT115</v>
      </c>
      <c r="D242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чер"&amp;"ез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/"&amp;"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устройство"&amp;",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2" s="4" t="str">
        <f ca="1">IFERROR(__xludf.DUMMYFUNCTION("""COMPUTED_VALUE"""),"Продление подписки на обновления 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«1С: Управление торговлей 11.5», для работы с маркированным товаром: алкоголь ЕГАИС и товары по штрихкодам  на 1 (один) год</v>
      </c>
      <c r="F242" s="5">
        <f ca="1">IFERROR(__xludf.DUMMYFUNCTION("""COMPUTED_VALUE"""),4770)</f>
        <v>4770</v>
      </c>
    </row>
    <row r="243" spans="1:6" ht="72" customHeight="1" x14ac:dyDescent="0.2">
      <c r="A243" s="4" t="str">
        <f ca="1">IFERROR(__xludf.DUMMYFUNCTION("""COMPUTED_VALUE"""),"«1С: Управление торговлей 11.5»")</f>
        <v>«1С: Управление торговлей 11.5»</v>
      </c>
      <c r="B243" s="4" t="str">
        <f ca="1">IFERROR(__xludf.DUMMYFUNCTION("""COMPUTED_VALUE"""),"с МОТП, БАЗОВЫЙ")</f>
        <v>с МОТП, БАЗОВЫЙ</v>
      </c>
      <c r="C243" s="4" t="str">
        <f ca="1">IFERROR(__xludf.DUMMYFUNCTION("""COMPUTED_VALUE"""),"SSY1-RTL15AT-1CUT115")</f>
        <v>SSY1-RTL15AT-1CUT115</v>
      </c>
      <c r="D243" s="4" t="str">
        <f ca="1">IFERROR(__xludf.DUMMYFUNCTION("""COMPUTED_VALUE"""),"Продление подписки на обновления Mobile SMARTS: Магазин 15 с МОТП, БАЗОВЫЙ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нет онлайна / до"&amp;"ступные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QR-ко"&amp;"дов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Продление подписки на обновления Mobile SMARTS: Магазин 15 с МОТП, БАЗОВЫЙ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3" s="4" t="str">
        <f ca="1">IFERROR(__xludf.DUMMYFUNCTION("""COMPUTED_VALUE"""),"Продление подписки на обновления Mobile SMARTS: Магазин 15 с МОТП, БАЗОВЫЙ для «1С: Управление торговлей 11.5»,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«1С: Управление торговлей 11.5», для работы с маркированным товаром: ТАБАК и товары по штрихкодам  на 1 (один) год</v>
      </c>
      <c r="F243" s="5">
        <f ca="1">IFERROR(__xludf.DUMMYFUNCTION("""COMPUTED_VALUE"""),2230)</f>
        <v>2230</v>
      </c>
    </row>
    <row r="244" spans="1:6" ht="72" customHeight="1" x14ac:dyDescent="0.2">
      <c r="A244" s="4" t="str">
        <f ca="1">IFERROR(__xludf.DUMMYFUNCTION("""COMPUTED_VALUE"""),"«1С: Управление торговлей 11.5»")</f>
        <v>«1С: Управление торговлей 11.5»</v>
      </c>
      <c r="B244" s="4" t="str">
        <f ca="1">IFERROR(__xludf.DUMMYFUNCTION("""COMPUTED_VALUE"""),"с МОТП, РАСШИРЕННЫЙ")</f>
        <v>с МОТП, РАСШИРЕННЫЙ</v>
      </c>
      <c r="C244" s="4" t="str">
        <f ca="1">IFERROR(__xludf.DUMMYFUNCTION("""COMPUTED_VALUE"""),"SSY1-RTL15BT-1CUT115")</f>
        <v>SSY1-RTL15BT-1CUT115</v>
      </c>
      <c r="D244" s="4" t="str">
        <f ca="1">IFERROR(__xludf.DUMMYFUNCTION("""COMPUTED_VALUE"""),"Продление подписки на обновления Mobile SMARTS: Магазин 15 с МОТП, РАСШИРЕННЫЙ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"&amp;"/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 с МОТП, РАСШИРЕННЫЙ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4" s="4" t="str">
        <f ca="1">IFERROR(__xludf.DUMMYFUNCTION("""COMPUTED_VALUE"""),"Продление подписки на обновления Mobile SMARTS: Магазин 15 с МОТП, РАСШИРЕННЫЙ для «1С: Управление торговлей 11.5»,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«1С: Управление торговлей 11.5», для работы с маркированным товаром: ТАБАК и товары по штрихкодам  на 1 (один) год</v>
      </c>
      <c r="F244" s="5">
        <f ca="1">IFERROR(__xludf.DUMMYFUNCTION("""COMPUTED_VALUE"""),3490)</f>
        <v>3490</v>
      </c>
    </row>
    <row r="245" spans="1:6" ht="72" customHeight="1" x14ac:dyDescent="0.2">
      <c r="A245" s="4" t="str">
        <f ca="1">IFERROR(__xludf.DUMMYFUNCTION("""COMPUTED_VALUE"""),"«1С: Управление торговлей 11.5»")</f>
        <v>«1С: Управление торговлей 11.5»</v>
      </c>
      <c r="B245" s="4" t="str">
        <f ca="1">IFERROR(__xludf.DUMMYFUNCTION("""COMPUTED_VALUE"""),"с МОТП, МЕГАМАРКЕТ")</f>
        <v>с МОТП, МЕГАМАРКЕТ</v>
      </c>
      <c r="C245" s="4" t="str">
        <f ca="1">IFERROR(__xludf.DUMMYFUNCTION("""COMPUTED_VALUE"""),"SSY1-RTL15CT-1CUT115")</f>
        <v>SSY1-RTL15CT-1CUT115</v>
      </c>
      <c r="D245" s="4" t="str">
        <f ca="1">IFERROR(__xludf.DUMMYFUNCTION("""COMPUTED_VALUE"""),"Продление подписки на обновления Mobile SMARTS: Магазин 15 с МОТП, МЕГАМАРКЕТ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Продление подписки на обновления Mobile SMARTS: Магазин 15 с МОТП, МЕГАМАРКЕТ для «1С: Управление торговлей 11.5»,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5" s="4" t="str">
        <f ca="1">IFERROR(__xludf.DUMMYFUNCTION("""COMPUTED_VALUE"""),"Продление подписки на обновления Mobile SMARTS: Магазин 15 с МОТП, МЕГАМАРКЕТ для «1С: Управление торговлей 11.5»,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«1С: Управление торговлей 11.5», для работы с маркированным товаром: ТАБАК и товары по штрихкодам  на 1 (один) год</v>
      </c>
      <c r="F245" s="5">
        <f ca="1">IFERROR(__xludf.DUMMYFUNCTION("""COMPUTED_VALUE"""),4770)</f>
        <v>4770</v>
      </c>
    </row>
    <row r="246" spans="1:6" ht="72" customHeight="1" x14ac:dyDescent="0.2">
      <c r="A246" s="4" t="str">
        <f ca="1">IFERROR(__xludf.DUMMYFUNCTION("""COMPUTED_VALUE"""),"«1С: Управление торговлей 11.5»")</f>
        <v>«1С: Управление торговлей 11.5»</v>
      </c>
      <c r="B246" s="4" t="str">
        <f ca="1">IFERROR(__xludf.DUMMYFUNCTION("""COMPUTED_VALUE"""),"с ЕГАИС и МОТП, БАЗОВЫЙ")</f>
        <v>с ЕГАИС и МОТП, БАЗОВЫЙ</v>
      </c>
      <c r="C246" s="4" t="str">
        <f ca="1">IFERROR(__xludf.DUMMYFUNCTION("""COMPUTED_VALUE"""),"SSY1-RTL15AET-1CUT115")</f>
        <v>SSY1-RTL15AET-1CUT115</v>
      </c>
      <c r="D246" s="4" t="str">
        <f ca="1">IFERROR(__xludf.DUMMYFUNCTION("""COMPUTED_VALUE"""),"Продление подписки на обновления Mobile SMARTS: Магазин 15 с ЕГАИС и МОТП, БАЗОВЫЙ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"&amp;"/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отгрузк"&amp;"а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6" s="4" t="str">
        <f ca="1">IFERROR(__xludf.DUMMYFUNCTION("""COMPUTED_VALUE"""),"Продление подписки на обновления Mobile SMARTS: Магазин 15 с ЕГАИС и МОТП, БАЗОВЫЙ для «1С: Управление торговлей 11.5»,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«1С: Управление торговлей 11.5», для работы с маркированным товаром: АЛКОГОЛЬ, ТАБАК и товары по штрихкодам  на 1 (один) год</v>
      </c>
      <c r="F246" s="5">
        <f ca="1">IFERROR(__xludf.DUMMYFUNCTION("""COMPUTED_VALUE"""),2430)</f>
        <v>2430</v>
      </c>
    </row>
    <row r="247" spans="1:6" ht="72" customHeight="1" x14ac:dyDescent="0.2">
      <c r="A247" s="4" t="str">
        <f ca="1">IFERROR(__xludf.DUMMYFUNCTION("""COMPUTED_VALUE"""),"«1С: Управление торговлей 11.5»")</f>
        <v>«1С: Управление торговлей 11.5»</v>
      </c>
      <c r="B247" s="4" t="str">
        <f ca="1">IFERROR(__xludf.DUMMYFUNCTION("""COMPUTED_VALUE"""),"с ЕГАИС и МОТП, РАСШИРЕННЫЙ")</f>
        <v>с ЕГАИС и МОТП, РАСШИРЕННЫЙ</v>
      </c>
      <c r="C247" s="4" t="str">
        <f ca="1">IFERROR(__xludf.DUMMYFUNCTION("""COMPUTED_VALUE"""),"SSY1-RTL15BET-1CUT115")</f>
        <v>SSY1-RTL15BET-1CUT115</v>
      </c>
      <c r="D247" s="4" t="str">
        <f ca="1">IFERROR(__xludf.DUMMYFUNCTION("""COMPUTED_VALUE"""),"Продление подписки на обновления 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Интер"&amp;"нет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отг"&amp;"рузка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"&amp;"изменение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7" s="4" t="str">
        <f ca="1">IFERROR(__xludf.DUMMYFUNCTION("""COMPUTED_VALUE"""),"Продление подписки на обновления 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«1С: Управление торговлей 11.5», для работы с маркированным товаром: АЛКОГОЛЬ, ТАБАК и товары по штрихкодам  на 1 (один) год</v>
      </c>
      <c r="F247" s="5">
        <f ca="1">IFERROR(__xludf.DUMMYFUNCTION("""COMPUTED_VALUE"""),3710)</f>
        <v>3710</v>
      </c>
    </row>
    <row r="248" spans="1:6" ht="72" customHeight="1" x14ac:dyDescent="0.2">
      <c r="A248" s="4" t="str">
        <f ca="1">IFERROR(__xludf.DUMMYFUNCTION("""COMPUTED_VALUE"""),"«1С: Управление торговлей 11.5»")</f>
        <v>«1С: Управление торговлей 11.5»</v>
      </c>
      <c r="B248" s="4" t="str">
        <f ca="1">IFERROR(__xludf.DUMMYFUNCTION("""COMPUTED_VALUE"""),"с ЕГАИС и МОТП, МЕГАМАРКЕТ")</f>
        <v>с ЕГАИС и МОТП, МЕГАМАРКЕТ</v>
      </c>
      <c r="C248" s="4" t="str">
        <f ca="1">IFERROR(__xludf.DUMMYFUNCTION("""COMPUTED_VALUE"""),"SSY1-RTL15CET-1CUT115")</f>
        <v>SSY1-RTL15CET-1CUT115</v>
      </c>
      <c r="D248" s="4" t="str">
        <f ca="1">IFERROR(__xludf.DUMMYFUNCTION("""COMPUTED_VALUE"""),"Продление подписки на обновления 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Интерн"&amp;"ет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отгр"&amp;"узка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"&amp;"и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8" s="4" t="str">
        <f ca="1">IFERROR(__xludf.DUMMYFUNCTION("""COMPUTED_VALUE"""),"Продление подписки на обновления 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«1С: Управление торговлей 11.5», для работы с маркированным товаром: АЛКОГОЛЬ, ТАБАК и товары по штрихкодам  на 1 (один) год</v>
      </c>
      <c r="F248" s="5">
        <f ca="1">IFERROR(__xludf.DUMMYFUNCTION("""COMPUTED_VALUE"""),5270)</f>
        <v>5270</v>
      </c>
    </row>
    <row r="249" spans="1:6" ht="72" customHeight="1" x14ac:dyDescent="0.2">
      <c r="A249" s="4" t="str">
        <f ca="1">IFERROR(__xludf.DUMMYFUNCTION("""COMPUTED_VALUE"""),"«1С: Управление торговлей 11.5»")</f>
        <v>«1С: Управление торговлей 11.5»</v>
      </c>
      <c r="B249" s="4" t="str">
        <f ca="1">IFERROR(__xludf.DUMMYFUNCTION("""COMPUTED_VALUE"""),"ШМОТКИ, БАЗОВЫЙ")</f>
        <v>ШМОТКИ, БАЗОВЫЙ</v>
      </c>
      <c r="C249" s="4" t="str">
        <f ca="1">IFERROR(__xludf.DUMMYFUNCTION("""COMPUTED_VALUE"""),"SSY1-RTL15AK-1CUT115")</f>
        <v>SSY1-RTL15AK-1CUT115</v>
      </c>
      <c r="D249" s="4" t="str">
        <f ca="1">IFERROR(__xludf.DUMMYFUNCTION("""COMPUTED_VALUE"""),"Продление подписки на обновления 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Интер"&amp;"нет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нас"&amp;"тройки,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Продление подписки на обновления 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49" s="4" t="str">
        <f ca="1">IFERROR(__xludf.DUMMYFUNCTION("""COMPUTED_VALUE"""),"Продление подписки на обновления 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«1С: Управление торговлей 11.5», для работы с маркированным товаром: ОБУВЬ, ОДЕЖДА, ПАРФЮМ, ШИНЫ и товары по штрихкодам  на 1 (один) год</v>
      </c>
      <c r="F249" s="5">
        <f ca="1">IFERROR(__xludf.DUMMYFUNCTION("""COMPUTED_VALUE"""),2430)</f>
        <v>2430</v>
      </c>
    </row>
    <row r="250" spans="1:6" ht="72" customHeight="1" x14ac:dyDescent="0.2">
      <c r="A250" s="4" t="str">
        <f ca="1">IFERROR(__xludf.DUMMYFUNCTION("""COMPUTED_VALUE"""),"«1С: Управление торговлей 11.5»")</f>
        <v>«1С: Управление торговлей 11.5»</v>
      </c>
      <c r="B250" s="4" t="str">
        <f ca="1">IFERROR(__xludf.DUMMYFUNCTION("""COMPUTED_VALUE"""),"ШМОТКИ, РАСШИРЕННЫЙ")</f>
        <v>ШМОТКИ, РАСШИРЕННЫЙ</v>
      </c>
      <c r="C250" s="4" t="str">
        <f ca="1">IFERROR(__xludf.DUMMYFUNCTION("""COMPUTED_VALUE"""),"SSY1-RTL15BK-1CUT115")</f>
        <v>SSY1-RTL15BK-1CUT115</v>
      </c>
      <c r="D250" s="4" t="str">
        <f ca="1">IFERROR(__xludf.DUMMYFUNCTION("""COMPUTED_VALUE"""),"Продление подписки на обновления 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И"&amp;"нтернет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справочников,"&amp;"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Продление подписки на обновления 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0" s="4" t="str">
        <f ca="1">IFERROR(__xludf.DUMMYFUNCTION("""COMPUTED_VALUE"""),"Продление подписки на обновления 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«1С: Управление торговлей 11.5», для работы с маркированным товаром: ОБУВЬ, ОДЕЖДА, ПАРФЮМ, ШИНЫ и товары по штрихкодам  на 1 (один) год</v>
      </c>
      <c r="F250" s="5">
        <f ca="1">IFERROR(__xludf.DUMMYFUNCTION("""COMPUTED_VALUE"""),3710)</f>
        <v>3710</v>
      </c>
    </row>
    <row r="251" spans="1:6" ht="72" customHeight="1" x14ac:dyDescent="0.2">
      <c r="A251" s="4" t="str">
        <f ca="1">IFERROR(__xludf.DUMMYFUNCTION("""COMPUTED_VALUE"""),"«1С: Управление торговлей 11.5»")</f>
        <v>«1С: Управление торговлей 11.5»</v>
      </c>
      <c r="B251" s="4" t="str">
        <f ca="1">IFERROR(__xludf.DUMMYFUNCTION("""COMPUTED_VALUE"""),"ШМОТКИ, МЕГАМАРКЕТ")</f>
        <v>ШМОТКИ, МЕГАМАРКЕТ</v>
      </c>
      <c r="C251" s="4" t="str">
        <f ca="1">IFERROR(__xludf.DUMMYFUNCTION("""COMPUTED_VALUE"""),"SSY1-RTL15CK-1CUT115")</f>
        <v>SSY1-RTL15CK-1CUT115</v>
      </c>
      <c r="D251" s="4" t="str">
        <f ca="1">IFERROR(__xludf.DUMMYFUNCTION("""COMPUTED_VALUE"""),"Продление подписки на обновления 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Ин"&amp;"тернет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"&amp;"настройки,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устройст"&amp;"во, подписка на обновления и обмен через Интернет на 1 (один) год")</f>
        <v>Продление подписки на обновления 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1" s="4" t="str">
        <f ca="1">IFERROR(__xludf.DUMMYFUNCTION("""COMPUTED_VALUE"""),"Продление подписки на обновления 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«1С: Управление торговлей 11.5», для работы с маркированным товаром: ОБУВЬ, ОДЕЖДА, ПАРФЮМ, ШИНЫ и товары по штрихкодам  на 1 (один) год</v>
      </c>
      <c r="F251" s="5">
        <f ca="1">IFERROR(__xludf.DUMMYFUNCTION("""COMPUTED_VALUE"""),5270)</f>
        <v>5270</v>
      </c>
    </row>
    <row r="252" spans="1:6" ht="72" customHeight="1" x14ac:dyDescent="0.2">
      <c r="A252" s="4" t="str">
        <f ca="1">IFERROR(__xludf.DUMMYFUNCTION("""COMPUTED_VALUE"""),"«1С: Управление торговлей 11.5»")</f>
        <v>«1С: Управление торговлей 11.5»</v>
      </c>
      <c r="B252" s="4" t="str">
        <f ca="1">IFERROR(__xludf.DUMMYFUNCTION("""COMPUTED_VALUE"""),"ПРОДУКТОВЫЙ, БАЗОВЫЙ")</f>
        <v>ПРОДУКТОВЫЙ, БАЗОВЫЙ</v>
      </c>
      <c r="C252" s="4" t="str">
        <f ca="1">IFERROR(__xludf.DUMMYFUNCTION("""COMPUTED_VALUE"""),"SSY1-RTL15AG-1CUT115")</f>
        <v>SSY1-RTL15AG-1CUT115</v>
      </c>
      <c r="D252" s="4" t="str">
        <f ca="1">IFERROR(__xludf.DUMMYFUNCTION("""COMPUTED_VALUE"""),"Продление подписки на обновления 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пров"&amp;"одной,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спи"&amp;"сание,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2" s="4" t="str">
        <f ca="1">IFERROR(__xludf.DUMMYFUNCTION("""COMPUTED_VALUE"""),"Продление подписки на обновления 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 на 1 (один) го"&amp;"д")</f>
        <v>Продление подписки на обновления Mobile SMARTS: Магазин 15 ПРОДУКТОВЫЙ, БАЗОВЫЙ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 на 1 (один) год</v>
      </c>
      <c r="F252" s="5">
        <f ca="1">IFERROR(__xludf.DUMMYFUNCTION("""COMPUTED_VALUE"""),2910)</f>
        <v>2910</v>
      </c>
    </row>
    <row r="253" spans="1:6" ht="72" customHeight="1" x14ac:dyDescent="0.2">
      <c r="A253" s="4" t="str">
        <f ca="1">IFERROR(__xludf.DUMMYFUNCTION("""COMPUTED_VALUE"""),"«1С: Управление торговлей 11.5»")</f>
        <v>«1С: Управление торговлей 11.5»</v>
      </c>
      <c r="B253" s="4" t="str">
        <f ca="1">IFERROR(__xludf.DUMMYFUNCTION("""COMPUTED_VALUE"""),"ПРОДУКТОВЫЙ, РАСШИРЕННЫЙ")</f>
        <v>ПРОДУКТОВЫЙ, РАСШИРЕННЫЙ</v>
      </c>
      <c r="C253" s="4" t="str">
        <f ca="1">IFERROR(__xludf.DUMMYFUNCTION("""COMPUTED_VALUE"""),"SSY1-RTL15BG-1CUT115")</f>
        <v>SSY1-RTL15BG-1CUT115</v>
      </c>
      <c r="D253" s="4" t="str">
        <f ca="1">IFERROR(__xludf.DUMMYFUNCTION("""COMPUTED_VALUE"""),"Продление подписки на обновления 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"&amp;"проводной,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принтер),"&amp;"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складах"&amp;",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3" s="4" t="str">
        <f ca="1">IFERROR(__xludf.DUMMYFUNCTION("""COMPUTED_VALUE"""),"Продление подписки на обновления 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 на 1 (один"&amp;") год")</f>
        <v>Продление подписки на обновления Mobile SMARTS: Магазин 15 ПРОДУКТОВЫЙ, РАСШИРЕННЫЙ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 на 1 (один) год</v>
      </c>
      <c r="F253" s="5">
        <f ca="1">IFERROR(__xludf.DUMMYFUNCTION("""COMPUTED_VALUE"""),4190)</f>
        <v>4190</v>
      </c>
    </row>
    <row r="254" spans="1:6" ht="72" customHeight="1" x14ac:dyDescent="0.2">
      <c r="A254" s="4" t="str">
        <f ca="1">IFERROR(__xludf.DUMMYFUNCTION("""COMPUTED_VALUE"""),"«1С: Управление торговлей 11.5»")</f>
        <v>«1С: Управление торговлей 11.5»</v>
      </c>
      <c r="B254" s="4" t="str">
        <f ca="1">IFERROR(__xludf.DUMMYFUNCTION("""COMPUTED_VALUE"""),"ПРОДУКТОВЫЙ, МЕГАМАРКЕТ")</f>
        <v>ПРОДУКТОВЫЙ, МЕГАМАРКЕТ</v>
      </c>
      <c r="C254" s="4" t="str">
        <f ca="1">IFERROR(__xludf.DUMMYFUNCTION("""COMPUTED_VALUE"""),"SSY1-RTL15CG-1CUT115")</f>
        <v>SSY1-RTL15CG-1CUT115</v>
      </c>
      <c r="D254" s="4" t="str">
        <f ca="1">IFERROR(__xludf.DUMMYFUNCTION("""COMPUTED_VALUE"""),"Продление подписки на обновления 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п"&amp;"роводной,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"&amp;"списание,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информац"&amp;"ия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4" s="4" t="str">
        <f ca="1">IFERROR(__xludf.DUMMYFUNCTION("""COMPUTED_VALUE"""),"Продление подписки на обновления 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 на 1 (один)"&amp;" год")</f>
        <v>Продление подписки на обновления Mobile SMARTS: Магазин 15 ПРОДУКТОВЫЙ, МЕГАМАРКЕТ для «1С: Управление торговлей 11.5», для работы с маркированным товаром: АЛКОГОЛЬ, ПИВО, ТАБАК, МОЛОКО, ВОДА, ОДЕЖДА, ОБУВЬ, ДУХИ, ШИНЫ и товаром по штрихкодам  на 1 (один) год</v>
      </c>
      <c r="F254" s="5">
        <f ca="1">IFERROR(__xludf.DUMMYFUNCTION("""COMPUTED_VALUE"""),5650)</f>
        <v>5650</v>
      </c>
    </row>
    <row r="255" spans="1:6" ht="72" customHeight="1" x14ac:dyDescent="0.2">
      <c r="A255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5" s="4" t="str">
        <f ca="1">IFERROR(__xludf.DUMMYFUNCTION("""COMPUTED_VALUE"""),"МИНИМУМ")</f>
        <v>МИНИМУМ</v>
      </c>
      <c r="C255" s="4" t="str">
        <f ca="1">IFERROR(__xludf.DUMMYFUNCTION("""COMPUTED_VALUE"""),"SSY1-RTL15M-1CUTKZ22")</f>
        <v>SSY1-RTL15M-1CUTKZ22</v>
      </c>
      <c r="D255" s="4" t="str">
        <f ca="1">IFERROR(__xludf.DUMMYFUNCTION("""COMPUTED_VALUE"""),"Продление подписки на обновления Mobile SMARTS: Магазин 15, МИНИМУМ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"&amp;"штрихкодов,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на"&amp;" обновления и обмен через Интернет на 1 (один) год")</f>
        <v>Продление подписки на обновления Mobile SMARTS: Магазин 15, МИНИМУМ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55" s="4" t="str">
        <f ca="1">IFERROR(__xludf.DUMMYFUNCTION("""COMPUTED_VALUE"""),"Продление подписки на обновления Mobile SMARTS: Магазин 15, МИНИМУМ для «1С: Управление торговлей для Казахстана 2.2», для работы с товаром по штрихкодам  на 1 (один) год")</f>
        <v>Продление подписки на обновления Mobile SMARTS: Магазин 15, МИНИМУМ для «1С: Управление торговлей для Казахстана 2.2», для работы с товаром по штрихкодам  на 1 (один) год</v>
      </c>
      <c r="F255" s="5">
        <f ca="1">IFERROR(__xludf.DUMMYFUNCTION("""COMPUTED_VALUE"""),690)</f>
        <v>690</v>
      </c>
    </row>
    <row r="256" spans="1:6" ht="72" customHeight="1" x14ac:dyDescent="0.2">
      <c r="A256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6" s="4" t="str">
        <f ca="1">IFERROR(__xludf.DUMMYFUNCTION("""COMPUTED_VALUE"""),"БАЗОВЫЙ")</f>
        <v>БАЗОВЫЙ</v>
      </c>
      <c r="C256" s="4" t="str">
        <f ca="1">IFERROR(__xludf.DUMMYFUNCTION("""COMPUTED_VALUE"""),"SSY1-RTL15A-1CUTKZ22")</f>
        <v>SSY1-RTL15A-1CUTKZ22</v>
      </c>
      <c r="D256" s="4" t="str">
        <f ca="1">IFERROR(__xludf.DUMMYFUNCTION("""COMPUTED_VALUE"""),"Продление подписки на обновления Mobile SMARTS: Магазин 15, БАЗОВЫЙ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посту"&amp;"пление,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оста"&amp;"тках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6" s="4" t="str">
        <f ca="1">IFERROR(__xludf.DUMMYFUNCTION("""COMPUTED_VALUE"""),"Продление подписки на обновления Mobile SMARTS: Магазин 15, БАЗОВЫЙ для «1С: Управление торговлей для Казахстана 2.2», для работы с товаром по штрихкодам  на 1 (один) год")</f>
        <v>Продление подписки на обновления Mobile SMARTS: Магазин 15, БАЗОВЫЙ для «1С: Управление торговлей для Казахстана 2.2», для работы с товаром по штрихкодам  на 1 (один) год</v>
      </c>
      <c r="F256" s="5">
        <f ca="1">IFERROR(__xludf.DUMMYFUNCTION("""COMPUTED_VALUE"""),1730)</f>
        <v>1730</v>
      </c>
    </row>
    <row r="257" spans="1:6" ht="72" customHeight="1" x14ac:dyDescent="0.2">
      <c r="A257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7" s="4" t="str">
        <f ca="1">IFERROR(__xludf.DUMMYFUNCTION("""COMPUTED_VALUE"""),"РАСШИРЕННЫЙ")</f>
        <v>РАСШИРЕННЫЙ</v>
      </c>
      <c r="C257" s="4" t="str">
        <f ca="1">IFERROR(__xludf.DUMMYFUNCTION("""COMPUTED_VALUE"""),"SSY1-RTL15B-1CUTKZ22")</f>
        <v>SSY1-RTL15B-1CUTKZ22</v>
      </c>
      <c r="D257" s="4" t="str">
        <f ca="1">IFERROR(__xludf.DUMMYFUNCTION("""COMPUTED_VALUE"""),"Продление подписки на обновления Mobile SMARTS: Магазин 15, РАСШИРЕННЫЙ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п"&amp;"оступление,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7" s="4" t="str">
        <f ca="1">IFERROR(__xludf.DUMMYFUNCTION("""COMPUTED_VALUE"""),"Продление подписки на обновления Mobile SMARTS: Магазин 15, РАСШИРЕННЫЙ для «1С: Управление торговлей для Казахстана 2.2»,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для Казахстана 2.2», для работы с товаром по штрихкодам  на 1 (один) год</v>
      </c>
      <c r="F257" s="5">
        <f ca="1">IFERROR(__xludf.DUMMYFUNCTION("""COMPUTED_VALUE"""),3010)</f>
        <v>3010</v>
      </c>
    </row>
    <row r="258" spans="1:6" ht="72" customHeight="1" x14ac:dyDescent="0.2">
      <c r="A258" s="4" t="str">
        <f ca="1">IFERROR(__xludf.DUMMYFUNCTION("""COMPUTED_VALUE"""),"«1С: Управление торговлей для Казахстана 2.2»")</f>
        <v>«1С: Управление торговлей для Казахстана 2.2»</v>
      </c>
      <c r="B258" s="4" t="str">
        <f ca="1">IFERROR(__xludf.DUMMYFUNCTION("""COMPUTED_VALUE"""),"МЕГАМАРКЕТ")</f>
        <v>МЕГАМАРКЕТ</v>
      </c>
      <c r="C258" s="4" t="str">
        <f ca="1">IFERROR(__xludf.DUMMYFUNCTION("""COMPUTED_VALUE"""),"SSY1-RTL15C-1CUTKZ22")</f>
        <v>SSY1-RTL15C-1CUTKZ22</v>
      </c>
      <c r="D258" s="4" t="str">
        <f ca="1">IFERROR(__xludf.DUMMYFUNCTION("""COMPUTED_VALUE"""),"Продление подписки на обновления Mobile SMARTS: Магазин 15, МЕГАМАРКЕТ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по"&amp;"ступление,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скл"&amp;"адах,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58" s="4" t="str">
        <f ca="1">IFERROR(__xludf.DUMMYFUNCTION("""COMPUTED_VALUE"""),"Продление подписки на обновления Mobile SMARTS: Магазин 15, МЕГАМАРКЕТ для «1С: Управление торговлей для Казахстана 2.2»,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для Казахстана 2.2», для работы с товаром по штрихкодам  на 1 (один) год</v>
      </c>
      <c r="F258" s="5">
        <f ca="1">IFERROR(__xludf.DUMMYFUNCTION("""COMPUTED_VALUE"""),4310)</f>
        <v>4310</v>
      </c>
    </row>
    <row r="259" spans="1:6" ht="72" customHeight="1" x14ac:dyDescent="0.2">
      <c r="A259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59" s="4" t="str">
        <f ca="1">IFERROR(__xludf.DUMMYFUNCTION("""COMPUTED_VALUE"""),"МИНИМУМ")</f>
        <v>МИНИМУМ</v>
      </c>
      <c r="C259" s="4" t="str">
        <f ca="1">IFERROR(__xludf.DUMMYFUNCTION("""COMPUTED_VALUE"""),"SSY1-RTL15M-1CUTKZ32")</f>
        <v>SSY1-RTL15M-1CUTKZ32</v>
      </c>
      <c r="D259" s="4" t="str">
        <f ca="1">IFERROR(__xludf.DUMMYFUNCTION("""COMPUTED_VALUE"""),"Продление подписки на обновления Mobile SMARTS: Магазин 15, МИНИМУМ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сбор "&amp;"штрихкодов,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на"&amp;" обновления и обмен через Интернет на 1 (один) год")</f>
        <v>Продление подписки на обновления Mobile SMARTS: Магазин 15, МИНИМУМ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59" s="4" t="str">
        <f ca="1">IFERROR(__xludf.DUMMYFUNCTION("""COMPUTED_VALUE"""),"Продление подписки на обновления Mobile SMARTS: Магазин 15, МИНИМУМ для «1С: Управление торговлей для Казахстана 3.2», для работы с товаром по штрихкодам  на 1 (один) год")</f>
        <v>Продление подписки на обновления Mobile SMARTS: Магазин 15, МИНИМУМ для «1С: Управление торговлей для Казахстана 3.2», для работы с товаром по штрихкодам  на 1 (один) год</v>
      </c>
      <c r="F259" s="5">
        <f ca="1">IFERROR(__xludf.DUMMYFUNCTION("""COMPUTED_VALUE"""),690)</f>
        <v>690</v>
      </c>
    </row>
    <row r="260" spans="1:6" ht="72" customHeight="1" x14ac:dyDescent="0.2">
      <c r="A260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60" s="4" t="str">
        <f ca="1">IFERROR(__xludf.DUMMYFUNCTION("""COMPUTED_VALUE"""),"БАЗОВЫЙ")</f>
        <v>БАЗОВЫЙ</v>
      </c>
      <c r="C260" s="4" t="str">
        <f ca="1">IFERROR(__xludf.DUMMYFUNCTION("""COMPUTED_VALUE"""),"SSY1-RTL15A-1CUTKZ32")</f>
        <v>SSY1-RTL15A-1CUTKZ32</v>
      </c>
      <c r="D260" s="4" t="str">
        <f ca="1">IFERROR(__xludf.DUMMYFUNCTION("""COMPUTED_VALUE"""),"Продление подписки на обновления Mobile SMARTS: Магазин 15, БАЗОВЫЙ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посту"&amp;"пление,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оста"&amp;"тках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для Казахстана 3.2»,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0" s="4" t="str">
        <f ca="1">IFERROR(__xludf.DUMMYFUNCTION("""COMPUTED_VALUE"""),"Продление подписки на обновления Mobile SMARTS: Магазин 15, БАЗОВЫЙ для «1С: Управление торговлей для Казахстана 3.2», для работы с товаром по штрихкодам  на 1 (один) год")</f>
        <v>Продление подписки на обновления Mobile SMARTS: Магазин 15, БАЗОВЫЙ для «1С: Управление торговлей для Казахстана 3.2», для работы с товаром по штрихкодам  на 1 (один) год</v>
      </c>
      <c r="F260" s="5">
        <f ca="1">IFERROR(__xludf.DUMMYFUNCTION("""COMPUTED_VALUE"""),1730)</f>
        <v>1730</v>
      </c>
    </row>
    <row r="261" spans="1:6" ht="72" customHeight="1" x14ac:dyDescent="0.2">
      <c r="A261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61" s="4" t="str">
        <f ca="1">IFERROR(__xludf.DUMMYFUNCTION("""COMPUTED_VALUE"""),"РАСШИРЕННЫЙ")</f>
        <v>РАСШИРЕННЫЙ</v>
      </c>
      <c r="C261" s="4" t="str">
        <f ca="1">IFERROR(__xludf.DUMMYFUNCTION("""COMPUTED_VALUE"""),"SSY1-RTL15B-1CUTKZ32")</f>
        <v>SSY1-RTL15B-1CUTKZ32</v>
      </c>
      <c r="D261" s="4" t="str">
        <f ca="1">IFERROR(__xludf.DUMMYFUNCTION("""COMPUTED_VALUE"""),"Продление подписки на обновления Mobile SMARTS: Магазин 15, РАСШИРЕННЫЙ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п"&amp;"оступление,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1" s="4" t="str">
        <f ca="1">IFERROR(__xludf.DUMMYFUNCTION("""COMPUTED_VALUE"""),"Продление подписки на обновления Mobile SMARTS: Магазин 15, РАСШИРЕННЫЙ для «1С: Управление торговлей для Казахстана 3.2»,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для Казахстана 3.2», для работы с товаром по штрихкодам  на 1 (один) год</v>
      </c>
      <c r="F261" s="5">
        <f ca="1">IFERROR(__xludf.DUMMYFUNCTION("""COMPUTED_VALUE"""),3010)</f>
        <v>3010</v>
      </c>
    </row>
    <row r="262" spans="1:6" ht="72" customHeight="1" x14ac:dyDescent="0.2">
      <c r="A262" s="4" t="str">
        <f ca="1">IFERROR(__xludf.DUMMYFUNCTION("""COMPUTED_VALUE"""),"«1С: Управление торговлей для Казахстана 3.2»")</f>
        <v>«1С: Управление торговлей для Казахстана 3.2»</v>
      </c>
      <c r="B262" s="4" t="str">
        <f ca="1">IFERROR(__xludf.DUMMYFUNCTION("""COMPUTED_VALUE"""),"МЕГАМАРКЕТ")</f>
        <v>МЕГАМАРКЕТ</v>
      </c>
      <c r="C262" s="4" t="str">
        <f ca="1">IFERROR(__xludf.DUMMYFUNCTION("""COMPUTED_VALUE"""),"SSY1-RTL15C-1CUTKZ32")</f>
        <v>SSY1-RTL15C-1CUTKZ32</v>
      </c>
      <c r="D262" s="4" t="str">
        <f ca="1">IFERROR(__xludf.DUMMYFUNCTION("""COMPUTED_VALUE"""),"Продление подписки на обновления Mobile SMARTS: Магазин 15, МЕГАМАРКЕТ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по"&amp;"ступление,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скл"&amp;"адах,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для Казахстана 3.2»,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2" s="4" t="str">
        <f ca="1">IFERROR(__xludf.DUMMYFUNCTION("""COMPUTED_VALUE"""),"Продление подписки на обновления Mobile SMARTS: Магазин 15, МЕГАМАРКЕТ для «1С: Управление торговлей для Казахстана 3.2»,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для Казахстана 3.2», для работы с товаром по штрихкодам  на 1 (один) год</v>
      </c>
      <c r="F262" s="5">
        <f ca="1">IFERROR(__xludf.DUMMYFUNCTION("""COMPUTED_VALUE"""),4310)</f>
        <v>4310</v>
      </c>
    </row>
    <row r="263" spans="1:6" ht="72" customHeight="1" x14ac:dyDescent="0.2">
      <c r="A263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3" s="4" t="str">
        <f ca="1">IFERROR(__xludf.DUMMYFUNCTION("""COMPUTED_VALUE"""),"МИНИМУМ")</f>
        <v>МИНИМУМ</v>
      </c>
      <c r="C263" s="4" t="str">
        <f ca="1">IFERROR(__xludf.DUMMYFUNCTION("""COMPUTED_VALUE"""),"SSY1-RTL15M-1CUTKZ34")</f>
        <v>SSY1-RTL15M-1CUTKZ34</v>
      </c>
      <c r="D263" s="4" t="str">
        <f ca="1">IFERROR(__xludf.DUMMYFUNCTION("""COMPUTED_VALUE"""),"Продление подписки на обновления Mobile SMARTS: Магазин 15, МИНИМУМ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сбор "&amp;"штрихкодов,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на"&amp;" обновления и обмен через Интернет на 1 (один) год")</f>
        <v>Продление подписки на обновления Mobile SMARTS: Магазин 15, МИНИМУМ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63" s="4" t="str">
        <f ca="1">IFERROR(__xludf.DUMMYFUNCTION("""COMPUTED_VALUE"""),"Продление подписки на обновления Mobile SMARTS: Магазин 15, МИНИМУМ для «1С: Управление торговлей для Казахстана 3.4», для работы с товаром по штрихкодам  на 1 (один) год")</f>
        <v>Продление подписки на обновления Mobile SMARTS: Магазин 15, МИНИМУМ для «1С: Управление торговлей для Казахстана 3.4», для работы с товаром по штрихкодам  на 1 (один) год</v>
      </c>
      <c r="F263" s="5">
        <f ca="1">IFERROR(__xludf.DUMMYFUNCTION("""COMPUTED_VALUE"""),690)</f>
        <v>690</v>
      </c>
    </row>
    <row r="264" spans="1:6" ht="72" customHeight="1" x14ac:dyDescent="0.2">
      <c r="A264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4" s="4" t="str">
        <f ca="1">IFERROR(__xludf.DUMMYFUNCTION("""COMPUTED_VALUE"""),"БАЗОВЫЙ")</f>
        <v>БАЗОВЫЙ</v>
      </c>
      <c r="C264" s="4" t="str">
        <f ca="1">IFERROR(__xludf.DUMMYFUNCTION("""COMPUTED_VALUE"""),"SSY1-RTL15A-1CUTKZ34")</f>
        <v>SSY1-RTL15A-1CUTKZ34</v>
      </c>
      <c r="D264" s="4" t="str">
        <f ca="1">IFERROR(__xludf.DUMMYFUNCTION("""COMPUTED_VALUE"""),"Продление подписки на обновления Mobile SMARTS: Магазин 15, БАЗОВЫЙ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посту"&amp;"пление,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оста"&amp;"тках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для Казахстана 3.4»,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4" s="4" t="str">
        <f ca="1">IFERROR(__xludf.DUMMYFUNCTION("""COMPUTED_VALUE"""),"Продление подписки на обновления Mobile SMARTS: Магазин 15, БАЗОВЫЙ для «1С: Управление торговлей для Казахстана 3.4», для работы с товаром по штрихкодам  на 1 (один) год")</f>
        <v>Продление подписки на обновления Mobile SMARTS: Магазин 15, БАЗОВЫЙ для «1С: Управление торговлей для Казахстана 3.4», для работы с товаром по штрихкодам  на 1 (один) год</v>
      </c>
      <c r="F264" s="5">
        <f ca="1">IFERROR(__xludf.DUMMYFUNCTION("""COMPUTED_VALUE"""),1730)</f>
        <v>1730</v>
      </c>
    </row>
    <row r="265" spans="1:6" ht="72" customHeight="1" x14ac:dyDescent="0.2">
      <c r="A265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5" s="4" t="str">
        <f ca="1">IFERROR(__xludf.DUMMYFUNCTION("""COMPUTED_VALUE"""),"РАСШИРЕННЫЙ")</f>
        <v>РАСШИРЕННЫЙ</v>
      </c>
      <c r="C265" s="4" t="str">
        <f ca="1">IFERROR(__xludf.DUMMYFUNCTION("""COMPUTED_VALUE"""),"SSY1-RTL15B-1CUTKZ34")</f>
        <v>SSY1-RTL15B-1CUTKZ34</v>
      </c>
      <c r="D265" s="4" t="str">
        <f ca="1">IFERROR(__xludf.DUMMYFUNCTION("""COMPUTED_VALUE"""),"Продление подписки на обновления Mobile SMARTS: Магазин 15, РАСШИРЕННЫЙ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п"&amp;"оступление,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5" s="4" t="str">
        <f ca="1">IFERROR(__xludf.DUMMYFUNCTION("""COMPUTED_VALUE"""),"Продление подписки на обновления Mobile SMARTS: Магазин 15, РАСШИРЕННЫЙ для «1С: Управление торговлей для Казахстана 3.4»,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для Казахстана 3.4», для работы с товаром по штрихкодам  на 1 (один) год</v>
      </c>
      <c r="F265" s="5">
        <f ca="1">IFERROR(__xludf.DUMMYFUNCTION("""COMPUTED_VALUE"""),3010)</f>
        <v>3010</v>
      </c>
    </row>
    <row r="266" spans="1:6" ht="72" customHeight="1" x14ac:dyDescent="0.2">
      <c r="A266" s="4" t="str">
        <f ca="1">IFERROR(__xludf.DUMMYFUNCTION("""COMPUTED_VALUE"""),"«1С: Управление торговлей для Казахстана 3.4»")</f>
        <v>«1С: Управление торговлей для Казахстана 3.4»</v>
      </c>
      <c r="B266" s="4" t="str">
        <f ca="1">IFERROR(__xludf.DUMMYFUNCTION("""COMPUTED_VALUE"""),"МЕГАМАРКЕТ")</f>
        <v>МЕГАМАРКЕТ</v>
      </c>
      <c r="C266" s="4" t="str">
        <f ca="1">IFERROR(__xludf.DUMMYFUNCTION("""COMPUTED_VALUE"""),"SSY1-RTL15C-1CUTKZ34")</f>
        <v>SSY1-RTL15C-1CUTKZ34</v>
      </c>
      <c r="D266" s="4" t="str">
        <f ca="1">IFERROR(__xludf.DUMMYFUNCTION("""COMPUTED_VALUE"""),"Продление подписки на обновления Mobile SMARTS: Магазин 15, МЕГАМАРКЕТ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по"&amp;"ступление,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скл"&amp;"адах,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для Казахстана 3.4»,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6" s="4" t="str">
        <f ca="1">IFERROR(__xludf.DUMMYFUNCTION("""COMPUTED_VALUE"""),"Продление подписки на обновления Mobile SMARTS: Магазин 15, МЕГАМАРКЕТ для «1С: Управление торговлей для Казахстана 3.4»,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для Казахстана 3.4», для работы с товаром по штрихкодам  на 1 (один) год</v>
      </c>
      <c r="F266" s="5">
        <f ca="1">IFERROR(__xludf.DUMMYFUNCTION("""COMPUTED_VALUE"""),4310)</f>
        <v>4310</v>
      </c>
    </row>
    <row r="267" spans="1:6" ht="72" customHeight="1" x14ac:dyDescent="0.2">
      <c r="A267" s="4" t="str">
        <f ca="1">IFERROR(__xludf.DUMMYFUNCTION("""COMPUTED_VALUE"""),"«1С: Розница для Казахстана 2.0»")</f>
        <v>«1С: Розница для Казахстана 2.0»</v>
      </c>
      <c r="B267" s="4" t="str">
        <f ca="1">IFERROR(__xludf.DUMMYFUNCTION("""COMPUTED_VALUE"""),"МИНИМУМ")</f>
        <v>МИНИМУМ</v>
      </c>
      <c r="C267" s="4" t="str">
        <f ca="1">IFERROR(__xludf.DUMMYFUNCTION("""COMPUTED_VALUE"""),"SSY1-RTL15M-1CRZKZ20")</f>
        <v>SSY1-RTL15M-1CRZKZ20</v>
      </c>
      <c r="D267" s="4" t="str">
        <f ca="1">IFERROR(__xludf.DUMMYFUNCTION("""COMPUTED_VALUE"""),"Продление подписки на обновления Mobile SMARTS: Магазин 15, МИНИМУМ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и"&amp;"нвентаризация,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и"&amp;" обмен через Интернет на 1 (один) год")</f>
        <v>Продление подписки на обновления Mobile SMARTS: Магазин 15, МИНИМУМ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67" s="4" t="str">
        <f ca="1">IFERROR(__xludf.DUMMYFUNCTION("""COMPUTED_VALUE"""),"Продление подписки на обновления Mobile SMARTS: Магазин 15, МИНИМУМ для «1С: Розница для Казахстана 2.0», для работы с товаром по штрихкодам  на 1 (один) год")</f>
        <v>Продление подписки на обновления Mobile SMARTS: Магазин 15, МИНИМУМ для «1С: Розница для Казахстана 2.0», для работы с товаром по штрихкодам  на 1 (один) год</v>
      </c>
      <c r="F267" s="5">
        <f ca="1">IFERROR(__xludf.DUMMYFUNCTION("""COMPUTED_VALUE"""),690)</f>
        <v>690</v>
      </c>
    </row>
    <row r="268" spans="1:6" ht="72" customHeight="1" x14ac:dyDescent="0.2">
      <c r="A268" s="4" t="str">
        <f ca="1">IFERROR(__xludf.DUMMYFUNCTION("""COMPUTED_VALUE"""),"«1С: Розница для Казахстана 2.0»")</f>
        <v>«1С: Розница для Казахстана 2.0»</v>
      </c>
      <c r="B268" s="4" t="str">
        <f ca="1">IFERROR(__xludf.DUMMYFUNCTION("""COMPUTED_VALUE"""),"БАЗОВЫЙ")</f>
        <v>БАЗОВЫЙ</v>
      </c>
      <c r="C268" s="4" t="str">
        <f ca="1">IFERROR(__xludf.DUMMYFUNCTION("""COMPUTED_VALUE"""),"SSY1-RTL15A-1CRZKZ20")</f>
        <v>SSY1-RTL15A-1CRZKZ20</v>
      </c>
      <c r="D268" s="4" t="str">
        <f ca="1">IFERROR(__xludf.DUMMYFUNCTION("""COMPUTED_VALUE"""),"Продление подписки на обновления Mobile SMARTS: Магазин 15, БАЗОВЫЙ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инвен"&amp;"таризация,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Розница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8" s="4" t="str">
        <f ca="1">IFERROR(__xludf.DUMMYFUNCTION("""COMPUTED_VALUE"""),"Продление подписки на обновления Mobile SMARTS: Магазин 15, БАЗОВЫЙ для «1С: Розница для Казахстана 2.0», для работы с товаром по штрихкодам  на 1 (один) год")</f>
        <v>Продление подписки на обновления Mobile SMARTS: Магазин 15, БАЗОВЫЙ для «1С: Розница для Казахстана 2.0», для работы с товаром по штрихкодам  на 1 (один) год</v>
      </c>
      <c r="F268" s="5">
        <f ca="1">IFERROR(__xludf.DUMMYFUNCTION("""COMPUTED_VALUE"""),1730)</f>
        <v>1730</v>
      </c>
    </row>
    <row r="269" spans="1:6" ht="72" customHeight="1" x14ac:dyDescent="0.2">
      <c r="A269" s="4" t="str">
        <f ca="1">IFERROR(__xludf.DUMMYFUNCTION("""COMPUTED_VALUE"""),"«1С: Розница для Казахстана 2.0»")</f>
        <v>«1С: Розница для Казахстана 2.0»</v>
      </c>
      <c r="B269" s="4" t="str">
        <f ca="1">IFERROR(__xludf.DUMMYFUNCTION("""COMPUTED_VALUE"""),"РАСШИРЕННЫЙ")</f>
        <v>РАСШИРЕННЫЙ</v>
      </c>
      <c r="C269" s="4" t="str">
        <f ca="1">IFERROR(__xludf.DUMMYFUNCTION("""COMPUTED_VALUE"""),"SSY1-RTL15B-1CRZKZ20")</f>
        <v>SSY1-RTL15B-1CRZKZ20</v>
      </c>
      <c r="D269" s="4" t="str">
        <f ca="1">IFERROR(__xludf.DUMMYFUNCTION("""COMPUTED_VALUE"""),"Продление подписки на обновления Mobile SMARTS: Магазин 15, РАСШИРЕННЫЙ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и"&amp;"нвентаризация,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69" s="4" t="str">
        <f ca="1">IFERROR(__xludf.DUMMYFUNCTION("""COMPUTED_VALUE"""),"Продление подписки на обновления Mobile SMARTS: Магазин 15, РАСШИРЕННЫЙ для «1С: Розница для Казахстана 2.0», для работы с товаром по штрихкодам  на 1 (один) год")</f>
        <v>Продление подписки на обновления Mobile SMARTS: Магазин 15, РАСШИРЕННЫЙ для «1С: Розница для Казахстана 2.0», для работы с товаром по штрихкодам  на 1 (один) год</v>
      </c>
      <c r="F269" s="5">
        <f ca="1">IFERROR(__xludf.DUMMYFUNCTION("""COMPUTED_VALUE"""),3010)</f>
        <v>3010</v>
      </c>
    </row>
    <row r="270" spans="1:6" ht="72" customHeight="1" x14ac:dyDescent="0.2">
      <c r="A270" s="4" t="str">
        <f ca="1">IFERROR(__xludf.DUMMYFUNCTION("""COMPUTED_VALUE"""),"«1С: Розница для Казахстана 2.0»")</f>
        <v>«1С: Розница для Казахстана 2.0»</v>
      </c>
      <c r="B270" s="4" t="str">
        <f ca="1">IFERROR(__xludf.DUMMYFUNCTION("""COMPUTED_VALUE"""),"МЕГАМАРКЕТ")</f>
        <v>МЕГАМАРКЕТ</v>
      </c>
      <c r="C270" s="4" t="str">
        <f ca="1">IFERROR(__xludf.DUMMYFUNCTION("""COMPUTED_VALUE"""),"SSY1-RTL15C-1CRZKZ20")</f>
        <v>SSY1-RTL15C-1CRZKZ20</v>
      </c>
      <c r="D270" s="4" t="str">
        <f ca="1">IFERROR(__xludf.DUMMYFUNCTION("""COMPUTED_VALUE"""),"Продление подписки на обновления Mobile SMARTS: Магазин 15, МЕГАМАРКЕТ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контраг"&amp;"ентах,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Розница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0" s="4" t="str">
        <f ca="1">IFERROR(__xludf.DUMMYFUNCTION("""COMPUTED_VALUE"""),"Продление подписки на обновления Mobile SMARTS: Магазин 15, МЕГАМАРКЕТ для «1С: Розница для Казахстана 2.0», для работы с товаром по штрихкодам  на 1 (один) год")</f>
        <v>Продление подписки на обновления Mobile SMARTS: Магазин 15, МЕГАМАРКЕТ для «1С: Розница для Казахстана 2.0», для работы с товаром по штрихкодам  на 1 (один) год</v>
      </c>
      <c r="F270" s="5">
        <f ca="1">IFERROR(__xludf.DUMMYFUNCTION("""COMPUTED_VALUE"""),4310)</f>
        <v>4310</v>
      </c>
    </row>
    <row r="271" spans="1:6" ht="72" customHeight="1" x14ac:dyDescent="0.2">
      <c r="A271" s="4" t="str">
        <f ca="1">IFERROR(__xludf.DUMMYFUNCTION("""COMPUTED_VALUE"""),"«1С: Розница для Казахстана 2.2»")</f>
        <v>«1С: Розница для Казахстана 2.2»</v>
      </c>
      <c r="B271" s="4" t="str">
        <f ca="1">IFERROR(__xludf.DUMMYFUNCTION("""COMPUTED_VALUE"""),"МИНИМУМ")</f>
        <v>МИНИМУМ</v>
      </c>
      <c r="C271" s="4" t="str">
        <f ca="1">IFERROR(__xludf.DUMMYFUNCTION("""COMPUTED_VALUE"""),"SSY1-RTL15M-1CRZKZ22")</f>
        <v>SSY1-RTL15M-1CRZKZ22</v>
      </c>
      <c r="D271" s="4" t="str">
        <f ca="1">IFERROR(__xludf.DUMMYFUNCTION("""COMPUTED_VALUE"""),"Продление подписки на обновления Mobile SMARTS: Магазин 15, МИНИМУМ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и"&amp;"нвентаризация,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и"&amp;" обмен через Интернет на 1 (один) год")</f>
        <v>Продление подписки на обновления Mobile SMARTS: Магазин 15, МИНИМУМ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71" s="4" t="str">
        <f ca="1">IFERROR(__xludf.DUMMYFUNCTION("""COMPUTED_VALUE"""),"Продление подписки на обновления Mobile SMARTS: Магазин 15, МИНИМУМ для «1С: Розница для Казахстана 2.2», для работы с товаром по штрихкодам  на 1 (один) год")</f>
        <v>Продление подписки на обновления Mobile SMARTS: Магазин 15, МИНИМУМ для «1С: Розница для Казахстана 2.2», для работы с товаром по штрихкодам  на 1 (один) год</v>
      </c>
      <c r="F271" s="5">
        <f ca="1">IFERROR(__xludf.DUMMYFUNCTION("""COMPUTED_VALUE"""),690)</f>
        <v>690</v>
      </c>
    </row>
    <row r="272" spans="1:6" ht="72" customHeight="1" x14ac:dyDescent="0.2">
      <c r="A272" s="4" t="str">
        <f ca="1">IFERROR(__xludf.DUMMYFUNCTION("""COMPUTED_VALUE"""),"«1С: Розница для Казахстана 2.2»")</f>
        <v>«1С: Розница для Казахстана 2.2»</v>
      </c>
      <c r="B272" s="4" t="str">
        <f ca="1">IFERROR(__xludf.DUMMYFUNCTION("""COMPUTED_VALUE"""),"БАЗОВЫЙ")</f>
        <v>БАЗОВЫЙ</v>
      </c>
      <c r="C272" s="4" t="str">
        <f ca="1">IFERROR(__xludf.DUMMYFUNCTION("""COMPUTED_VALUE"""),"SSY1-RTL15A-1CRZKZ22")</f>
        <v>SSY1-RTL15A-1CRZKZ22</v>
      </c>
      <c r="D272" s="4" t="str">
        <f ca="1">IFERROR(__xludf.DUMMYFUNCTION("""COMPUTED_VALUE"""),"Продление подписки на обновления Mobile SMARTS: Магазин 15, БАЗОВЫЙ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инвен"&amp;"таризация,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Розница для Казахстана 2.2»,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2" s="4" t="str">
        <f ca="1">IFERROR(__xludf.DUMMYFUNCTION("""COMPUTED_VALUE"""),"Продление подписки на обновления Mobile SMARTS: Магазин 15, БАЗОВЫЙ для «1С: Розница для Казахстана 2.2», для работы с товаром по штрихкодам  на 1 (один) год")</f>
        <v>Продление подписки на обновления Mobile SMARTS: Магазин 15, БАЗОВЫЙ для «1С: Розница для Казахстана 2.2», для работы с товаром по штрихкодам  на 1 (один) год</v>
      </c>
      <c r="F272" s="5">
        <f ca="1">IFERROR(__xludf.DUMMYFUNCTION("""COMPUTED_VALUE"""),1730)</f>
        <v>1730</v>
      </c>
    </row>
    <row r="273" spans="1:6" ht="72" customHeight="1" x14ac:dyDescent="0.2">
      <c r="A273" s="4" t="str">
        <f ca="1">IFERROR(__xludf.DUMMYFUNCTION("""COMPUTED_VALUE"""),"«1С: Розница для Казахстана 2.2»")</f>
        <v>«1С: Розница для Казахстана 2.2»</v>
      </c>
      <c r="B273" s="4" t="str">
        <f ca="1">IFERROR(__xludf.DUMMYFUNCTION("""COMPUTED_VALUE"""),"РАСШИРЕННЫЙ")</f>
        <v>РАСШИРЕННЫЙ</v>
      </c>
      <c r="C273" s="4" t="str">
        <f ca="1">IFERROR(__xludf.DUMMYFUNCTION("""COMPUTED_VALUE"""),"SSY1-RTL15B-1CRZKZ22")</f>
        <v>SSY1-RTL15B-1CRZKZ22</v>
      </c>
      <c r="D273" s="4" t="str">
        <f ca="1">IFERROR(__xludf.DUMMYFUNCTION("""COMPUTED_VALUE"""),"Продление подписки на обновления Mobile SMARTS: Магазин 15, РАСШИРЕННЫЙ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и"&amp;"нвентаризация,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3" s="4" t="str">
        <f ca="1">IFERROR(__xludf.DUMMYFUNCTION("""COMPUTED_VALUE"""),"Продление подписки на обновления Mobile SMARTS: Магазин 15, РАСШИРЕННЫЙ для «1С: Розница для Казахстана 2.2», для работы с товаром по штрихкодам  на 1 (один) год")</f>
        <v>Продление подписки на обновления Mobile SMARTS: Магазин 15, РАСШИРЕННЫЙ для «1С: Розница для Казахстана 2.2», для работы с товаром по штрихкодам  на 1 (один) год</v>
      </c>
      <c r="F273" s="5">
        <f ca="1">IFERROR(__xludf.DUMMYFUNCTION("""COMPUTED_VALUE"""),3010)</f>
        <v>3010</v>
      </c>
    </row>
    <row r="274" spans="1:6" ht="72" customHeight="1" x14ac:dyDescent="0.2">
      <c r="A274" s="4" t="str">
        <f ca="1">IFERROR(__xludf.DUMMYFUNCTION("""COMPUTED_VALUE"""),"«1С: Розница для Казахстана 2.2»")</f>
        <v>«1С: Розница для Казахстана 2.2»</v>
      </c>
      <c r="B274" s="4" t="str">
        <f ca="1">IFERROR(__xludf.DUMMYFUNCTION("""COMPUTED_VALUE"""),"МЕГАМАРКЕТ")</f>
        <v>МЕГАМАРКЕТ</v>
      </c>
      <c r="C274" s="4" t="str">
        <f ca="1">IFERROR(__xludf.DUMMYFUNCTION("""COMPUTED_VALUE"""),"SSY1-RTL15C-1CRZKZ22")</f>
        <v>SSY1-RTL15C-1CRZKZ22</v>
      </c>
      <c r="D274" s="4" t="str">
        <f ca="1">IFERROR(__xludf.DUMMYFUNCTION("""COMPUTED_VALUE"""),"Продление подписки на обновления Mobile SMARTS: Магазин 15, МЕГАМАРКЕТ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контраг"&amp;"ентах,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Розница для Казахстана 2.2»,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4" s="4" t="str">
        <f ca="1">IFERROR(__xludf.DUMMYFUNCTION("""COMPUTED_VALUE"""),"Продление подписки на обновления Mobile SMARTS: Магазин 15, МЕГАМАРКЕТ для «1С: Розница для Казахстана 2.2», для работы с товаром по штрихкодам  на 1 (один) год")</f>
        <v>Продление подписки на обновления Mobile SMARTS: Магазин 15, МЕГАМАРКЕТ для «1С: Розница для Казахстана 2.2», для работы с товаром по штрихкодам  на 1 (один) год</v>
      </c>
      <c r="F274" s="5">
        <f ca="1">IFERROR(__xludf.DUMMYFUNCTION("""COMPUTED_VALUE"""),4310)</f>
        <v>4310</v>
      </c>
    </row>
    <row r="275" spans="1:6" ht="72" customHeight="1" x14ac:dyDescent="0.2">
      <c r="A275" s="4" t="str">
        <f ca="1">IFERROR(__xludf.DUMMYFUNCTION("""COMPUTED_VALUE"""),"«1С: Розница для Казахстана 2.3»")</f>
        <v>«1С: Розница для Казахстана 2.3»</v>
      </c>
      <c r="B275" s="4" t="str">
        <f ca="1">IFERROR(__xludf.DUMMYFUNCTION("""COMPUTED_VALUE"""),"МИНИМУМ")</f>
        <v>МИНИМУМ</v>
      </c>
      <c r="C275" s="4" t="str">
        <f ca="1">IFERROR(__xludf.DUMMYFUNCTION("""COMPUTED_VALUE"""),"SSY1-RTL15M-1CRZKZ23")</f>
        <v>SSY1-RTL15M-1CRZKZ23</v>
      </c>
      <c r="D275" s="4" t="str">
        <f ca="1">IFERROR(__xludf.DUMMYFUNCTION("""COMPUTED_VALUE"""),"Продление подписки на обновления Mobile SMARTS: Магазин 15, МИНИМУМ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сбор штрихкодов, и"&amp;"нвентаризация,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и"&amp;" обмен через Интернет на 1 (один) год")</f>
        <v>Продление подписки на обновления Mobile SMARTS: Магазин 15, МИНИМУМ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75" s="4" t="str">
        <f ca="1">IFERROR(__xludf.DUMMYFUNCTION("""COMPUTED_VALUE"""),"Продление подписки на обновления Mobile SMARTS: Магазин 15, МИНИМУМ для «1С: Розница для Казахстана 2.3», для работы с товаром по штрихкодам  на 1 (один) год")</f>
        <v>Продление подписки на обновления Mobile SMARTS: Магазин 15, МИНИМУМ для «1С: Розница для Казахстана 2.3», для работы с товаром по штрихкодам  на 1 (один) год</v>
      </c>
      <c r="F275" s="5">
        <f ca="1">IFERROR(__xludf.DUMMYFUNCTION("""COMPUTED_VALUE"""),690)</f>
        <v>690</v>
      </c>
    </row>
    <row r="276" spans="1:6" ht="72" customHeight="1" x14ac:dyDescent="0.2">
      <c r="A276" s="4" t="str">
        <f ca="1">IFERROR(__xludf.DUMMYFUNCTION("""COMPUTED_VALUE"""),"«1С: Розница для Казахстана 2.3»")</f>
        <v>«1С: Розница для Казахстана 2.3»</v>
      </c>
      <c r="B276" s="4" t="str">
        <f ca="1">IFERROR(__xludf.DUMMYFUNCTION("""COMPUTED_VALUE"""),"БАЗОВЫЙ")</f>
        <v>БАЗОВЫЙ</v>
      </c>
      <c r="C276" s="4" t="str">
        <f ca="1">IFERROR(__xludf.DUMMYFUNCTION("""COMPUTED_VALUE"""),"SSY1-RTL15A-1CRZKZ23")</f>
        <v>SSY1-RTL15A-1CRZKZ23</v>
      </c>
      <c r="D276" s="4" t="str">
        <f ca="1">IFERROR(__xludf.DUMMYFUNCTION("""COMPUTED_VALUE"""),"Продление подписки на обновления Mobile SMARTS: Магазин 15, БАЗОВЫЙ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инвен"&amp;"таризация,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Розница для Казахстана 2.3»,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6" s="4" t="str">
        <f ca="1">IFERROR(__xludf.DUMMYFUNCTION("""COMPUTED_VALUE"""),"Продление подписки на обновления Mobile SMARTS: Магазин 15, БАЗОВЫЙ для «1С: Розница для Казахстана 2.3», для работы с товаром по штрихкодам  на 1 (один) год")</f>
        <v>Продление подписки на обновления Mobile SMARTS: Магазин 15, БАЗОВЫЙ для «1С: Розница для Казахстана 2.3», для работы с товаром по штрихкодам  на 1 (один) год</v>
      </c>
      <c r="F276" s="5">
        <f ca="1">IFERROR(__xludf.DUMMYFUNCTION("""COMPUTED_VALUE"""),1730)</f>
        <v>1730</v>
      </c>
    </row>
    <row r="277" spans="1:6" ht="72" customHeight="1" x14ac:dyDescent="0.2">
      <c r="A277" s="4" t="str">
        <f ca="1">IFERROR(__xludf.DUMMYFUNCTION("""COMPUTED_VALUE"""),"«1С: Розница для Казахстана 2.3»")</f>
        <v>«1С: Розница для Казахстана 2.3»</v>
      </c>
      <c r="B277" s="4" t="str">
        <f ca="1">IFERROR(__xludf.DUMMYFUNCTION("""COMPUTED_VALUE"""),"РАСШИРЕННЫЙ")</f>
        <v>РАСШИРЕННЫЙ</v>
      </c>
      <c r="C277" s="4" t="str">
        <f ca="1">IFERROR(__xludf.DUMMYFUNCTION("""COMPUTED_VALUE"""),"SSY1-RTL15B-1CRZKZ23")</f>
        <v>SSY1-RTL15B-1CRZKZ23</v>
      </c>
      <c r="D277" s="4" t="str">
        <f ca="1">IFERROR(__xludf.DUMMYFUNCTION("""COMPUTED_VALUE"""),"Продление подписки на обновления Mobile SMARTS: Магазин 15, РАСШИРЕННЫЙ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и"&amp;"нвентаризация,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7" s="4" t="str">
        <f ca="1">IFERROR(__xludf.DUMMYFUNCTION("""COMPUTED_VALUE"""),"Продление подписки на обновления Mobile SMARTS: Магазин 15, РАСШИРЕННЫЙ для «1С: Розница для Казахстана 2.3», для работы с товаром по штрихкодам  на 1 (один) год")</f>
        <v>Продление подписки на обновления Mobile SMARTS: Магазин 15, РАСШИРЕННЫЙ для «1С: Розница для Казахстана 2.3», для работы с товаром по штрихкодам  на 1 (один) год</v>
      </c>
      <c r="F277" s="5">
        <f ca="1">IFERROR(__xludf.DUMMYFUNCTION("""COMPUTED_VALUE"""),3010)</f>
        <v>3010</v>
      </c>
    </row>
    <row r="278" spans="1:6" ht="72" customHeight="1" x14ac:dyDescent="0.2">
      <c r="A278" s="4" t="str">
        <f ca="1">IFERROR(__xludf.DUMMYFUNCTION("""COMPUTED_VALUE"""),"«1С: Розница для Казахстана 2.3»")</f>
        <v>«1С: Розница для Казахстана 2.3»</v>
      </c>
      <c r="B278" s="4" t="str">
        <f ca="1">IFERROR(__xludf.DUMMYFUNCTION("""COMPUTED_VALUE"""),"МЕГАМАРКЕТ")</f>
        <v>МЕГАМАРКЕТ</v>
      </c>
      <c r="C278" s="4" t="str">
        <f ca="1">IFERROR(__xludf.DUMMYFUNCTION("""COMPUTED_VALUE"""),"SSY1-RTL15C-1CRZKZ23")</f>
        <v>SSY1-RTL15C-1CRZKZ23</v>
      </c>
      <c r="D278" s="4" t="str">
        <f ca="1">IFERROR(__xludf.DUMMYFUNCTION("""COMPUTED_VALUE"""),"Продление подписки на обновления Mobile SMARTS: Магазин 15, МЕГАМАРКЕТ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контраг"&amp;"ентах,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Розница для Казахстана 2.3»,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78" s="4" t="str">
        <f ca="1">IFERROR(__xludf.DUMMYFUNCTION("""COMPUTED_VALUE"""),"Продление подписки на обновления Mobile SMARTS: Магазин 15, МЕГАМАРКЕТ для «1С: Розница для Казахстана 2.3», для работы с товаром по штрихкодам  на 1 (один) год")</f>
        <v>Продление подписки на обновления Mobile SMARTS: Магазин 15, МЕГАМАРКЕТ для «1С: Розница для Казахстана 2.3», для работы с товаром по штрихкодам  на 1 (один) год</v>
      </c>
      <c r="F278" s="5">
        <f ca="1">IFERROR(__xludf.DUMMYFUNCTION("""COMPUTED_VALUE"""),4310)</f>
        <v>4310</v>
      </c>
    </row>
    <row r="279" spans="1:6" ht="72" customHeight="1" x14ac:dyDescent="0.2">
      <c r="A279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79" s="4" t="str">
        <f ca="1">IFERROR(__xludf.DUMMYFUNCTION("""COMPUTED_VALUE"""),"МИНИМУМ")</f>
        <v>МИНИМУМ</v>
      </c>
      <c r="C279" s="4" t="str">
        <f ca="1">IFERROR(__xludf.DUMMYFUNCTION("""COMPUTED_VALUE"""),"SSY1-RTL15M-1CUTPKZ20")</f>
        <v>SSY1-RTL15M-1CUTPKZ20</v>
      </c>
      <c r="D279" s="4" t="str">
        <f ca="1">IFERROR(__xludf.DUMMYFUNCTION("""COMPUTED_VALUE"""),"Продление подписки на обновления Mobile SMARTS: Магазин 15, МИНИМУМ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опе"&amp;"рации: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устройство,"&amp;" подписка на обновления и обмен через Интернет на 1 (один) год")</f>
        <v>Продление подписки на обновления Mobile SMARTS: Магазин 15, МИНИМУМ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79" s="4" t="str">
        <f ca="1">IFERROR(__xludf.DUMMYFUNCTION("""COMPUTED_VALUE"""),"Продление подписки на обновления Mobile SMARTS: Магазин 15, МИНИМУМ для «1С: Управление торговым предприятием для Казахстана 2.0», для работы с товаром по штрихкодам  на 1 (один) год")</f>
        <v>Продление подписки на обновления Mobile SMARTS: Магазин 15, МИНИМУМ для «1С: Управление торговым предприятием для Казахстана 2.0», для работы с товаром по штрихкодам  на 1 (один) год</v>
      </c>
      <c r="F279" s="5">
        <f ca="1">IFERROR(__xludf.DUMMYFUNCTION("""COMPUTED_VALUE"""),690)</f>
        <v>690</v>
      </c>
    </row>
    <row r="280" spans="1:6" ht="72" customHeight="1" x14ac:dyDescent="0.2">
      <c r="A280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80" s="4" t="str">
        <f ca="1">IFERROR(__xludf.DUMMYFUNCTION("""COMPUTED_VALUE"""),"БАЗОВЫЙ")</f>
        <v>БАЗОВЫЙ</v>
      </c>
      <c r="C280" s="4" t="str">
        <f ca="1">IFERROR(__xludf.DUMMYFUNCTION("""COMPUTED_VALUE"""),"SSY1-RTL15A-1CUTPKZ20")</f>
        <v>SSY1-RTL15A-1CUTPKZ20</v>
      </c>
      <c r="D280" s="4" t="str">
        <f ca="1">IFERROR(__xludf.DUMMYFUNCTION("""COMPUTED_VALUE"""),"Продление подписки на обновления Mobile SMARTS: Магазин 15, БАЗОВЫЙ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опе"&amp;"рации: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контра"&amp;"гентах,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0" s="4" t="str">
        <f ca="1">IFERROR(__xludf.DUMMYFUNCTION("""COMPUTED_VALUE"""),"Продление подписки на обновления Mobile SMARTS: Магазин 15, БАЗОВЫЙ для «1С: Управление торговым предприятием для Казахстана 2.0», для работы с товаром по штрихкодам  на 1 (один) год")</f>
        <v>Продление подписки на обновления Mobile SMARTS: Магазин 15, БАЗОВЫЙ для «1С: Управление торговым предприятием для Казахстана 2.0», для работы с товаром по штрихкодам  на 1 (один) год</v>
      </c>
      <c r="F280" s="5">
        <f ca="1">IFERROR(__xludf.DUMMYFUNCTION("""COMPUTED_VALUE"""),1730)</f>
        <v>1730</v>
      </c>
    </row>
    <row r="281" spans="1:6" ht="72" customHeight="1" x14ac:dyDescent="0.2">
      <c r="A281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81" s="4" t="str">
        <f ca="1">IFERROR(__xludf.DUMMYFUNCTION("""COMPUTED_VALUE"""),"РАСШИРЕННЫЙ")</f>
        <v>РАСШИРЕННЫЙ</v>
      </c>
      <c r="C281" s="4" t="str">
        <f ca="1">IFERROR(__xludf.DUMMYFUNCTION("""COMPUTED_VALUE"""),"SSY1-RTL15B-1CUTPKZ20")</f>
        <v>SSY1-RTL15B-1CUTPKZ20</v>
      </c>
      <c r="D281" s="4" t="str">
        <f ca="1">IFERROR(__xludf.DUMMYFUNCTION("""COMPUTED_VALUE"""),"Продление подписки на обновления Mobile SMARTS: Магазин 15, РАСШИРЕННЫЙ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доступные"&amp;"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ко"&amp;"нтрагентах,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1" s="4" t="str">
        <f ca="1">IFERROR(__xludf.DUMMYFUNCTION("""COMPUTED_VALUE"""),"Продление подписки на обновления Mobile SMARTS: Магазин 15, РАСШИРЕННЫЙ для «1С: Управление торговым предприятием для Казахстана 2.0», для работы с товаром по штрихкодам  на 1 (один) год")</f>
        <v>Продление подписки на обновления Mobile SMARTS: Магазин 15, РАСШИРЕННЫЙ для «1С: Управление торговым предприятием для Казахстана 2.0», для работы с товаром по штрихкодам  на 1 (один) год</v>
      </c>
      <c r="F281" s="5">
        <f ca="1">IFERROR(__xludf.DUMMYFUNCTION("""COMPUTED_VALUE"""),3010)</f>
        <v>3010</v>
      </c>
    </row>
    <row r="282" spans="1:6" ht="72" customHeight="1" x14ac:dyDescent="0.2">
      <c r="A282" s="4" t="str">
        <f ca="1">IFERROR(__xludf.DUMMYFUNCTION("""COMPUTED_VALUE"""),"«1С: Управление торговым предприятием для Казахстана 2.0»")</f>
        <v>«1С: Управление торговым предприятием для Казахстана 2.0»</v>
      </c>
      <c r="B282" s="4" t="str">
        <f ca="1">IFERROR(__xludf.DUMMYFUNCTION("""COMPUTED_VALUE"""),"МЕГАМАРКЕТ")</f>
        <v>МЕГАМАРКЕТ</v>
      </c>
      <c r="C282" s="4" t="str">
        <f ca="1">IFERROR(__xludf.DUMMYFUNCTION("""COMPUTED_VALUE"""),"SSY1-RTL15C-1CUTPKZ20")</f>
        <v>SSY1-RTL15C-1CUTPKZ20</v>
      </c>
      <c r="D282" s="4" t="str">
        <f ca="1">IFERROR(__xludf.DUMMYFUNCTION("""COMPUTED_VALUE"""),"Продление подписки на обновления Mobile SMARTS: Магазин 15, МЕГАМАРКЕТ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"&amp;"операции: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о"&amp;"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торговым предприятием для Казахстана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2" s="4" t="str">
        <f ca="1">IFERROR(__xludf.DUMMYFUNCTION("""COMPUTED_VALUE"""),"Продление подписки на обновления Mobile SMARTS: Магазин 15, МЕГАМАРКЕТ для «1С: Управление торговым предприятием для Казахстана 2.0», для работы с товаром по штрихкодам  на 1 (один) год")</f>
        <v>Продление подписки на обновления Mobile SMARTS: Магазин 15, МЕГАМАРКЕТ для «1С: Управление торговым предприятием для Казахстана 2.0», для работы с товаром по штрихкодам  на 1 (один) год</v>
      </c>
      <c r="F282" s="5">
        <f ca="1">IFERROR(__xludf.DUMMYFUNCTION("""COMPUTED_VALUE"""),4310)</f>
        <v>4310</v>
      </c>
    </row>
    <row r="283" spans="1:6" ht="72" customHeight="1" x14ac:dyDescent="0.2">
      <c r="A283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3" s="4" t="str">
        <f ca="1">IFERROR(__xludf.DUMMYFUNCTION("""COMPUTED_VALUE"""),"МИНИМУМ")</f>
        <v>МИНИМУМ</v>
      </c>
      <c r="C283" s="4" t="str">
        <f ca="1">IFERROR(__xludf.DUMMYFUNCTION("""COMPUTED_VALUE"""),"SSY1-RTL15M-1CUTBEL33")</f>
        <v>SSY1-RTL15M-1CUTBEL33</v>
      </c>
      <c r="D283" s="4" t="str">
        <f ca="1">IFERROR(__xludf.DUMMYFUNCTION("""COMPUTED_VALUE"""),"Продление подписки на обновления Mobile SMARTS: Магазин 15, МИНИМУМ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сбор шт"&amp;"рихкодов,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о"&amp;"бновления и обмен через Интернет на 1 (один) год")</f>
        <v>Продление подписки на обновления Mobile SMARTS: Магазин 15, МИНИМУМ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83" s="4" t="str">
        <f ca="1">IFERROR(__xludf.DUMMYFUNCTION("""COMPUTED_VALUE"""),"Продление подписки на обновления Mobile SMARTS: Магазин 15, МИНИМУМ для «1С: Управление торговлей для Беларуси 3.3», для работы с товаром по штрихкодам  на 1 (один) год")</f>
        <v>Продление подписки на обновления Mobile SMARTS: Магазин 15, МИНИМУМ для «1С: Управление торговлей для Беларуси 3.3», для работы с товаром по штрихкодам  на 1 (один) год</v>
      </c>
      <c r="F283" s="5">
        <f ca="1">IFERROR(__xludf.DUMMYFUNCTION("""COMPUTED_VALUE"""),690)</f>
        <v>690</v>
      </c>
    </row>
    <row r="284" spans="1:6" ht="72" customHeight="1" x14ac:dyDescent="0.2">
      <c r="A284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4" s="4" t="str">
        <f ca="1">IFERROR(__xludf.DUMMYFUNCTION("""COMPUTED_VALUE"""),"БАЗОВЫЙ")</f>
        <v>БАЗОВЫЙ</v>
      </c>
      <c r="C284" s="4" t="str">
        <f ca="1">IFERROR(__xludf.DUMMYFUNCTION("""COMPUTED_VALUE"""),"SSY1-RTL15A-1CUTBEL33")</f>
        <v>SSY1-RTL15A-1CUTBEL33</v>
      </c>
      <c r="D284" s="4" t="str">
        <f ca="1">IFERROR(__xludf.DUMMYFUNCTION("""COMPUTED_VALUE"""),"Продление подписки на обновления Mobile SMARTS: Магазин 15, БАЗОВЫЙ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поступл"&amp;"ение,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«1С: Управление торговлей для Беларуси 3.3»,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4" s="4" t="str">
        <f ca="1">IFERROR(__xludf.DUMMYFUNCTION("""COMPUTED_VALUE"""),"Продление подписки на обновления Mobile SMARTS: Магазин 15, БАЗОВЫЙ для «1С: Управление торговлей для Беларуси 3.3», для работы с товаром по штрихкодам  на 1 (один) год")</f>
        <v>Продление подписки на обновления Mobile SMARTS: Магазин 15, БАЗОВЫЙ для «1С: Управление торговлей для Беларуси 3.3», для работы с товаром по штрихкодам  на 1 (один) год</v>
      </c>
      <c r="F284" s="5">
        <f ca="1">IFERROR(__xludf.DUMMYFUNCTION("""COMPUTED_VALUE"""),1730)</f>
        <v>1730</v>
      </c>
    </row>
    <row r="285" spans="1:6" ht="72" customHeight="1" x14ac:dyDescent="0.2">
      <c r="A285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5" s="4" t="str">
        <f ca="1">IFERROR(__xludf.DUMMYFUNCTION("""COMPUTED_VALUE"""),"РАСШИРЕННЫЙ")</f>
        <v>РАСШИРЕННЫЙ</v>
      </c>
      <c r="C285" s="4" t="str">
        <f ca="1">IFERROR(__xludf.DUMMYFUNCTION("""COMPUTED_VALUE"""),"SSY1-RTL15B-1CUTBEL33")</f>
        <v>SSY1-RTL15B-1CUTBEL33</v>
      </c>
      <c r="D285" s="4" t="str">
        <f ca="1">IFERROR(__xludf.DUMMYFUNCTION("""COMPUTED_VALUE"""),"Продление подписки на обновления Mobile SMARTS: Магазин 15, РАСШИРЕННЫЙ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пос"&amp;"тупление,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5" s="4" t="str">
        <f ca="1">IFERROR(__xludf.DUMMYFUNCTION("""COMPUTED_VALUE"""),"Продление подписки на обновления Mobile SMARTS: Магазин 15, РАСШИРЕННЫЙ для «1С: Управление торговлей для Беларуси 3.3», для работы с товаром по штрихкодам  на 1 (один) год")</f>
        <v>Продление подписки на обновления Mobile SMARTS: Магазин 15, РАСШИРЕННЫЙ для «1С: Управление торговлей для Беларуси 3.3», для работы с товаром по штрихкодам  на 1 (один) год</v>
      </c>
      <c r="F285" s="5">
        <f ca="1">IFERROR(__xludf.DUMMYFUNCTION("""COMPUTED_VALUE"""),3010)</f>
        <v>3010</v>
      </c>
    </row>
    <row r="286" spans="1:6" ht="72" customHeight="1" x14ac:dyDescent="0.2">
      <c r="A286" s="4" t="str">
        <f ca="1">IFERROR(__xludf.DUMMYFUNCTION("""COMPUTED_VALUE"""),"«1С: Управление торговлей для Беларуси 3.3»")</f>
        <v>«1С: Управление торговлей для Беларуси 3.3»</v>
      </c>
      <c r="B286" s="4" t="str">
        <f ca="1">IFERROR(__xludf.DUMMYFUNCTION("""COMPUTED_VALUE"""),"МЕГАМАРКЕТ")</f>
        <v>МЕГАМАРКЕТ</v>
      </c>
      <c r="C286" s="4" t="str">
        <f ca="1">IFERROR(__xludf.DUMMYFUNCTION("""COMPUTED_VALUE"""),"SSY1-RTL15C-1CUTBEL33")</f>
        <v>SSY1-RTL15C-1CUTBEL33</v>
      </c>
      <c r="D286" s="4" t="str">
        <f ca="1">IFERROR(__xludf.DUMMYFUNCTION("""COMPUTED_VALUE"""),"Продление подписки на обновления Mobile SMARTS: Магазин 15, МЕГАМАРКЕТ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пост"&amp;"упление,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«1С: Управление торговлей для Беларуси 3.3»,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6" s="4" t="str">
        <f ca="1">IFERROR(__xludf.DUMMYFUNCTION("""COMPUTED_VALUE"""),"Продление подписки на обновления Mobile SMARTS: Магазин 15, МЕГАМАРКЕТ для «1С: Управление торговлей для Беларуси 3.3», для работы с товаром по штрихкодам  на 1 (один) год")</f>
        <v>Продление подписки на обновления Mobile SMARTS: Магазин 15, МЕГАМАРКЕТ для «1С: Управление торговлей для Беларуси 3.3», для работы с товаром по штрихкодам  на 1 (один) год</v>
      </c>
      <c r="F286" s="5">
        <f ca="1">IFERROR(__xludf.DUMMYFUNCTION("""COMPUTED_VALUE"""),4310)</f>
        <v>4310</v>
      </c>
    </row>
    <row r="287" spans="1:6" ht="72" customHeight="1" x14ac:dyDescent="0.2">
      <c r="A287" s="4"/>
      <c r="B287" s="4"/>
      <c r="C287" s="4" t="str">
        <f ca="1">IFERROR(__xludf.DUMMYFUNCTION("""COMPUTED_VALUE"""),"SSY1-")</f>
        <v>SSY1-</v>
      </c>
      <c r="D287" s="4" t="str">
        <f ca="1">IFERROR(__xludf.DUMMYFUNCTION("""COMPUTED_VALUE"""),"Продление подписки на обновления Штрих-М")</f>
        <v>Продление подписки на обновления Штрих-М</v>
      </c>
      <c r="E287" s="4" t="str">
        <f ca="1">IFERROR(__xludf.DUMMYFUNCTION("""COMPUTED_VALUE"""),"#VALUE!")</f>
        <v>#VALUE!</v>
      </c>
      <c r="F287" s="4" t="str">
        <f ca="1">IFERROR(__xludf.DUMMYFUNCTION("""COMPUTED_VALUE"""),"#N/A")</f>
        <v>#N/A</v>
      </c>
    </row>
    <row r="288" spans="1:6" ht="72" customHeight="1" x14ac:dyDescent="0.2">
      <c r="A288" s="4" t="str">
        <f ca="1">IFERROR(__xludf.DUMMYFUNCTION("""COMPUTED_VALUE"""),"«Штрих-М: Торговое предприятие 5.2»")</f>
        <v>«Штрих-М: Торговое предприятие 5.2»</v>
      </c>
      <c r="B288" s="4" t="str">
        <f ca="1">IFERROR(__xludf.DUMMYFUNCTION("""COMPUTED_VALUE"""),"МИНИМУМ")</f>
        <v>МИНИМУМ</v>
      </c>
      <c r="C288" s="4" t="str">
        <f ca="1">IFERROR(__xludf.DUMMYFUNCTION("""COMPUTED_VALUE"""),"SSY1-RTL15M-SHMTORG52")</f>
        <v>SSY1-RTL15M-SHMTORG52</v>
      </c>
      <c r="D288" s="4" t="str">
        <f ca="1">IFERROR(__xludf.DUMMYFUNCTION("""COMPUTED_VALUE"""),"Продление подписки на обновления Mobile SMARTS: Магазин 15, МИНИМУМ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сбор штрихкодов"&amp;",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обновлени"&amp;"я и обмен через Интернет на 1 (один) год")</f>
        <v>Продление подписки на обновления Mobile SMARTS: Магазин 15, МИНИМУМ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88" s="4" t="str">
        <f ca="1">IFERROR(__xludf.DUMMYFUNCTION("""COMPUTED_VALUE"""),"Продление подписки на обновления Mobile SMARTS: Магазин 15, МИНИМУМ для «Штрих-М: Торговое предприятие 5.2», для работы с товаром по штрихкодам  на 1 (один) год")</f>
        <v>Продление подписки на обновления Mobile SMARTS: Магазин 15, МИНИМУМ для «Штрих-М: Торговое предприятие 5.2», для работы с товаром по штрихкодам  на 1 (один) год</v>
      </c>
      <c r="F288" s="5">
        <f ca="1">IFERROR(__xludf.DUMMYFUNCTION("""COMPUTED_VALUE"""),690)</f>
        <v>690</v>
      </c>
    </row>
    <row r="289" spans="1:6" ht="72" customHeight="1" x14ac:dyDescent="0.2">
      <c r="A289" s="4" t="str">
        <f ca="1">IFERROR(__xludf.DUMMYFUNCTION("""COMPUTED_VALUE"""),"«Штрих-М: Торговое предприятие 5.2»")</f>
        <v>«Штрих-М: Торговое предприятие 5.2»</v>
      </c>
      <c r="B289" s="4" t="str">
        <f ca="1">IFERROR(__xludf.DUMMYFUNCTION("""COMPUTED_VALUE"""),"БАЗОВЫЙ")</f>
        <v>БАЗОВЫЙ</v>
      </c>
      <c r="C289" s="4" t="str">
        <f ca="1">IFERROR(__xludf.DUMMYFUNCTION("""COMPUTED_VALUE"""),"SSY1-RTL15A-SHMTORG52")</f>
        <v>SSY1-RTL15A-SHMTORG52</v>
      </c>
      <c r="D289" s="4" t="str">
        <f ca="1">IFERROR(__xludf.DUMMYFUNCTION("""COMPUTED_VALUE"""),"Продление подписки на обновления Mobile SMARTS: Магазин 15, БАЗОВЫЙ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«Штрих-М: Торговое предприятие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89" s="4" t="str">
        <f ca="1">IFERROR(__xludf.DUMMYFUNCTION("""COMPUTED_VALUE"""),"Продление подписки на обновления Mobile SMARTS: Магазин 15, БАЗОВЫЙ для «Штрих-М: Торговое предприятие 5.2», для работы с товаром по штрихкодам  на 1 (один) год")</f>
        <v>Продление подписки на обновления Mobile SMARTS: Магазин 15, БАЗОВЫЙ для «Штрих-М: Торговое предприятие 5.2», для работы с товаром по штрихкодам  на 1 (один) год</v>
      </c>
      <c r="F289" s="5">
        <f ca="1">IFERROR(__xludf.DUMMYFUNCTION("""COMPUTED_VALUE"""),1730)</f>
        <v>1730</v>
      </c>
    </row>
    <row r="290" spans="1:6" ht="72" customHeight="1" x14ac:dyDescent="0.2">
      <c r="A290" s="4" t="str">
        <f ca="1">IFERROR(__xludf.DUMMYFUNCTION("""COMPUTED_VALUE"""),"«Штрих-М: Торговое предприятие 5.2»")</f>
        <v>«Штрих-М: Торговое предприятие 5.2»</v>
      </c>
      <c r="B290" s="4" t="str">
        <f ca="1">IFERROR(__xludf.DUMMYFUNCTION("""COMPUTED_VALUE"""),"РАСШИРЕННЫЙ")</f>
        <v>РАСШИРЕННЫЙ</v>
      </c>
      <c r="C290" s="4" t="str">
        <f ca="1">IFERROR(__xludf.DUMMYFUNCTION("""COMPUTED_VALUE"""),"SSY1-RTL15B-SHMTORG52")</f>
        <v>SSY1-RTL15B-SHMTORG52</v>
      </c>
      <c r="D290" s="4" t="str">
        <f ca="1">IFERROR(__xludf.DUMMYFUNCTION("""COMPUTED_VALUE"""),"Продление подписки на обновления Mobile SMARTS: Магазин 15, РАСШИРЕННЫЙ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поступление"&amp;",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0" s="4" t="str">
        <f ca="1">IFERROR(__xludf.DUMMYFUNCTION("""COMPUTED_VALUE"""),"Продление подписки на обновления Mobile SMARTS: Магазин 15, РАСШИРЕННЫЙ для «Штрих-М: Торговое предприятие 5.2», для работы с товаром по штрихкодам  на 1 (один) год")</f>
        <v>Продление подписки на обновления Mobile SMARTS: Магазин 15, РАСШИРЕННЫЙ для «Штрих-М: Торговое предприятие 5.2», для работы с товаром по штрихкодам  на 1 (один) год</v>
      </c>
      <c r="F290" s="5">
        <f ca="1">IFERROR(__xludf.DUMMYFUNCTION("""COMPUTED_VALUE"""),3010)</f>
        <v>3010</v>
      </c>
    </row>
    <row r="291" spans="1:6" ht="72" customHeight="1" x14ac:dyDescent="0.2">
      <c r="A291" s="4" t="str">
        <f ca="1">IFERROR(__xludf.DUMMYFUNCTION("""COMPUTED_VALUE"""),"«Штрих-М: Торговое предприятие 5.2»")</f>
        <v>«Штрих-М: Торговое предприятие 5.2»</v>
      </c>
      <c r="B291" s="4" t="str">
        <f ca="1">IFERROR(__xludf.DUMMYFUNCTION("""COMPUTED_VALUE"""),"МЕГАМАРКЕТ")</f>
        <v>МЕГАМАРКЕТ</v>
      </c>
      <c r="C291" s="4" t="str">
        <f ca="1">IFERROR(__xludf.DUMMYFUNCTION("""COMPUTED_VALUE"""),"SSY1-RTL15C-SHMTORG52")</f>
        <v>SSY1-RTL15C-SHMTORG52</v>
      </c>
      <c r="D291" s="4" t="str">
        <f ca="1">IFERROR(__xludf.DUMMYFUNCTION("""COMPUTED_VALUE"""),"Продление подписки на обновления Mobile SMARTS: Магазин 15, МЕГАМАРКЕТ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«Штрих-М: Торговое предприятие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1" s="4" t="str">
        <f ca="1">IFERROR(__xludf.DUMMYFUNCTION("""COMPUTED_VALUE"""),"Продление подписки на обновления Mobile SMARTS: Магазин 15, МЕГАМАРКЕТ для «Штрих-М: Торговое предприятие 5.2», для работы с товаром по штрихкодам  на 1 (один) год")</f>
        <v>Продление подписки на обновления Mobile SMARTS: Магазин 15, МЕГАМАРКЕТ для «Штрих-М: Торговое предприятие 5.2», для работы с товаром по штрихкодам  на 1 (один) год</v>
      </c>
      <c r="F291" s="5">
        <f ca="1">IFERROR(__xludf.DUMMYFUNCTION("""COMPUTED_VALUE"""),4310)</f>
        <v>4310</v>
      </c>
    </row>
    <row r="292" spans="1:6" ht="72" customHeight="1" x14ac:dyDescent="0.2">
      <c r="A292" s="4" t="str">
        <f ca="1">IFERROR(__xludf.DUMMYFUNCTION("""COMPUTED_VALUE"""),"«Штрих-М: Торговое предприятие 5.2»")</f>
        <v>«Штрих-М: Торговое предприятие 5.2»</v>
      </c>
      <c r="B292" s="4" t="str">
        <f ca="1">IFERROR(__xludf.DUMMYFUNCTION("""COMPUTED_VALUE"""),"с ЕГАИС, БАЗОВЫЙ")</f>
        <v>с ЕГАИС, БАЗОВЫЙ</v>
      </c>
      <c r="C292" s="4" t="str">
        <f ca="1">IFERROR(__xludf.DUMMYFUNCTION("""COMPUTED_VALUE"""),"SSY1-RTL15AE-SHMTORG52")</f>
        <v>SSY1-RTL15AE-SHMTORG52</v>
      </c>
      <c r="D292" s="4" t="str">
        <f ca="1">IFERROR(__xludf.DUMMYFUNCTION("""COMPUTED_VALUE"""),"Продление подписки на обновления Mobile SMARTS: Магазин 15 с ЕГАИС, БАЗОВЫЙ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не"&amp;"т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ЕГАИС, БАЗОВЫЙ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292" s="4" t="str">
        <f ca="1">IFERROR(__xludf.DUMMYFUNCTION("""COMPUTED_VALUE"""),"Продление подписки на обновления Mobile SMARTS: Магазин 15 с ЕГАИС, БАЗОВЫЙ для «Штрих-М: Торговое предприятие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«Штрих-М: Торговое предприятие 5.2», для работы с маркированным товаром: алкоголь ЕГАИС и товары по штрихкодам  на 1 (один) год</v>
      </c>
      <c r="F292" s="5">
        <f ca="1">IFERROR(__xludf.DUMMYFUNCTION("""COMPUTED_VALUE"""),2200)</f>
        <v>2200</v>
      </c>
    </row>
    <row r="293" spans="1:6" ht="72" customHeight="1" x14ac:dyDescent="0.2">
      <c r="A293" s="4" t="str">
        <f ca="1">IFERROR(__xludf.DUMMYFUNCTION("""COMPUTED_VALUE"""),"«Штрих-М: Торговое предприятие 5.2»")</f>
        <v>«Штрих-М: Торговое предприятие 5.2»</v>
      </c>
      <c r="B293" s="4" t="str">
        <f ca="1">IFERROR(__xludf.DUMMYFUNCTION("""COMPUTED_VALUE"""),"с ЕГАИС, РАСШИРЕННЫЙ")</f>
        <v>с ЕГАИС, РАСШИРЕННЫЙ</v>
      </c>
      <c r="C293" s="4" t="str">
        <f ca="1">IFERROR(__xludf.DUMMYFUNCTION("""COMPUTED_VALUE"""),"SSY1-RTL15BE-SHMTORG52")</f>
        <v>SSY1-RTL15BE-SHMTORG52</v>
      </c>
      <c r="D293" s="4" t="str">
        <f ca="1">IFERROR(__xludf.DUMMYFUNCTION("""COMPUTED_VALUE"""),"Продление подписки на обновления Mobile SMARTS: Магазин 15 с ЕГАИС, РАСШИРЕННЫЙ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 с ЕГАИС, РАСШИРЕННЫЙ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3" s="4" t="str">
        <f ca="1">IFERROR(__xludf.DUMMYFUNCTION("""COMPUTED_VALUE"""),"Продление подписки на обновления Mobile SMARTS: Магазин 15 с ЕГАИС, РАСШИРЕННЫЙ для «Штрих-М: Торговое предприятие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«Штрих-М: Торговое предприятие 5.2», для работы с маркированным товаром: алкоголь ЕГАИС и товары по штрихкодам  на 1 (один) год</v>
      </c>
      <c r="F293" s="5">
        <f ca="1">IFERROR(__xludf.DUMMYFUNCTION("""COMPUTED_VALUE"""),3490)</f>
        <v>3490</v>
      </c>
    </row>
    <row r="294" spans="1:6" ht="72" customHeight="1" x14ac:dyDescent="0.2">
      <c r="A294" s="4" t="str">
        <f ca="1">IFERROR(__xludf.DUMMYFUNCTION("""COMPUTED_VALUE"""),"«Штрих-М: Торговое предприятие 5.2»")</f>
        <v>«Штрих-М: Торговое предприятие 5.2»</v>
      </c>
      <c r="B294" s="4" t="str">
        <f ca="1">IFERROR(__xludf.DUMMYFUNCTION("""COMPUTED_VALUE"""),"с ЕГАИС (без CheckMark2), МЕГАМАРКЕТ")</f>
        <v>с ЕГАИС (без CheckMark2), МЕГАМАРКЕТ</v>
      </c>
      <c r="C294" s="4" t="str">
        <f ca="1">IFERROR(__xludf.DUMMYFUNCTION("""COMPUTED_VALUE"""),"SSY1-RTL15CEV-SHMTORG52")</f>
        <v>SSY1-RTL15CEV-SHMTORG52</v>
      </c>
      <c r="D294" s="4" t="str">
        <f ca="1">IFERROR(__xludf.DUMMYFUNCTION("""COMPUTED_VALUE"""),"Продление подписки на обновления 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обмен"&amp;"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QR-код"&amp;"ов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4" s="4" t="str">
        <f ca="1">IFERROR(__xludf.DUMMYFUNCTION("""COMPUTED_VALUE"""),"Продление подписки на обновления 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«Штрих-М: Торговое предприятие 5.2», для работы с маркированным товаром: алкоголь ЕГАИС и товары по штрихкодам  на 1 (один) год</v>
      </c>
      <c r="F294" s="5">
        <f ca="1">IFERROR(__xludf.DUMMYFUNCTION("""COMPUTED_VALUE"""),4770)</f>
        <v>4770</v>
      </c>
    </row>
    <row r="295" spans="1:6" ht="72" customHeight="1" x14ac:dyDescent="0.2">
      <c r="A295" s="4" t="str">
        <f ca="1">IFERROR(__xludf.DUMMYFUNCTION("""COMPUTED_VALUE"""),"«Штрих-М: Торговое предприятие 5.2»")</f>
        <v>«Штрих-М: Торговое предприятие 5.2»</v>
      </c>
      <c r="B295" s="4" t="str">
        <f ca="1">IFERROR(__xludf.DUMMYFUNCTION("""COMPUTED_VALUE"""),"с МОТП, БАЗОВЫЙ")</f>
        <v>с МОТП, БАЗОВЫЙ</v>
      </c>
      <c r="C295" s="4" t="str">
        <f ca="1">IFERROR(__xludf.DUMMYFUNCTION("""COMPUTED_VALUE"""),"SSY1-RTL15AT-SHMTORG52")</f>
        <v>SSY1-RTL15AT-SHMTORG52</v>
      </c>
      <c r="D295" s="4" t="str">
        <f ca="1">IFERROR(__xludf.DUMMYFUNCTION("""COMPUTED_VALUE"""),"Продление подписки на обновления Mobile SMARTS: Магазин 15 с МОТП, БАЗОВЫЙ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нет онлайна "&amp;"/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 с МОТП, БАЗОВЫЙ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5" s="4" t="str">
        <f ca="1">IFERROR(__xludf.DUMMYFUNCTION("""COMPUTED_VALUE"""),"Продление подписки на обновления Mobile SMARTS: Магазин 15 с МОТП, БАЗОВЫЙ для «Штрих-М: Торговое предприятие 5.2»,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«Штрих-М: Торговое предприятие 5.2», для работы с маркированным товаром: ТАБАК и товары по штрихкодам  на 1 (один) год</v>
      </c>
      <c r="F295" s="5">
        <f ca="1">IFERROR(__xludf.DUMMYFUNCTION("""COMPUTED_VALUE"""),2230)</f>
        <v>2230</v>
      </c>
    </row>
    <row r="296" spans="1:6" ht="72" customHeight="1" x14ac:dyDescent="0.2">
      <c r="A296" s="4" t="str">
        <f ca="1">IFERROR(__xludf.DUMMYFUNCTION("""COMPUTED_VALUE"""),"«Штрих-М: Торговое предприятие 5.2»")</f>
        <v>«Штрих-М: Торговое предприятие 5.2»</v>
      </c>
      <c r="B296" s="4" t="str">
        <f ca="1">IFERROR(__xludf.DUMMYFUNCTION("""COMPUTED_VALUE"""),"с МОТП, РАСШИРЕННЫЙ")</f>
        <v>с МОТП, РАСШИРЕННЫЙ</v>
      </c>
      <c r="C296" s="4" t="str">
        <f ca="1">IFERROR(__xludf.DUMMYFUNCTION("""COMPUTED_VALUE"""),"SSY1-RTL15BT-SHMTORG52")</f>
        <v>SSY1-RTL15BT-SHMTORG52</v>
      </c>
      <c r="D296" s="4" t="str">
        <f ca="1">IFERROR(__xludf.DUMMYFUNCTION("""COMPUTED_VALUE"""),"Продление подписки на обновления Mobile SMARTS: Магазин 15 с МОТП, РАСШИРЕННЫЙ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ОНЛ"&amp;"АЙН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провер"&amp;"ка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Продление подписки на обновления Mobile SMARTS: Магазин 15 с МОТП, РАСШИРЕННЫЙ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6" s="4" t="str">
        <f ca="1">IFERROR(__xludf.DUMMYFUNCTION("""COMPUTED_VALUE"""),"Продление подписки на обновления Mobile SMARTS: Магазин 15 с МОТП, РАСШИРЕННЫЙ для «Штрих-М: Торговое предприятие 5.2»,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«Штрих-М: Торговое предприятие 5.2», для работы с маркированным товаром: ТАБАК и товары по штрихкодам  на 1 (один) год</v>
      </c>
      <c r="F296" s="5">
        <f ca="1">IFERROR(__xludf.DUMMYFUNCTION("""COMPUTED_VALUE"""),3490)</f>
        <v>3490</v>
      </c>
    </row>
    <row r="297" spans="1:6" ht="72" customHeight="1" x14ac:dyDescent="0.2">
      <c r="A297" s="4" t="str">
        <f ca="1">IFERROR(__xludf.DUMMYFUNCTION("""COMPUTED_VALUE"""),"«Штрих-М: Торговое предприятие 5.2»")</f>
        <v>«Штрих-М: Торговое предприятие 5.2»</v>
      </c>
      <c r="B297" s="4" t="str">
        <f ca="1">IFERROR(__xludf.DUMMYFUNCTION("""COMPUTED_VALUE"""),"с МОТП, МЕГАМАРКЕТ")</f>
        <v>с МОТП, МЕГАМАРКЕТ</v>
      </c>
      <c r="C297" s="4" t="str">
        <f ca="1">IFERROR(__xludf.DUMMYFUNCTION("""COMPUTED_VALUE"""),"SSY1-RTL15CT-SHMTORG52")</f>
        <v>SSY1-RTL15CT-SHMTORG52</v>
      </c>
      <c r="D297" s="4" t="str">
        <f ca="1">IFERROR(__xludf.DUMMYFUNCTION("""COMPUTED_VALUE"""),"Продление подписки на обновления Mobile SMARTS: Магазин 15 с МОТП, МЕГАМАРКЕТ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Продление подписки на обновления Mobile SMARTS: Магазин 15 с МОТП, МЕГАМАРКЕТ для «Штрих-М: Торговое предприятие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7" s="4" t="str">
        <f ca="1">IFERROR(__xludf.DUMMYFUNCTION("""COMPUTED_VALUE"""),"Продление подписки на обновления Mobile SMARTS: Магазин 15 с МОТП, МЕГАМАРКЕТ для «Штрих-М: Торговое предприятие 5.2»,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«Штрих-М: Торговое предприятие 5.2», для работы с маркированным товаром: ТАБАК и товары по штрихкодам  на 1 (один) год</v>
      </c>
      <c r="F297" s="5">
        <f ca="1">IFERROR(__xludf.DUMMYFUNCTION("""COMPUTED_VALUE"""),4770)</f>
        <v>4770</v>
      </c>
    </row>
    <row r="298" spans="1:6" ht="72" customHeight="1" x14ac:dyDescent="0.2">
      <c r="A298" s="4" t="str">
        <f ca="1">IFERROR(__xludf.DUMMYFUNCTION("""COMPUTED_VALUE"""),"«Штрих-М: Торговое предприятие 5.2»")</f>
        <v>«Штрих-М: Торговое предприятие 5.2»</v>
      </c>
      <c r="B298" s="4" t="str">
        <f ca="1">IFERROR(__xludf.DUMMYFUNCTION("""COMPUTED_VALUE"""),"с ЕГАИС и МОТП, БАЗОВЫЙ")</f>
        <v>с ЕГАИС и МОТП, БАЗОВЫЙ</v>
      </c>
      <c r="C298" s="4" t="str">
        <f ca="1">IFERROR(__xludf.DUMMYFUNCTION("""COMPUTED_VALUE"""),"SSY1-RTL15AET-SHMTORG52")</f>
        <v>SSY1-RTL15AET-SHMTORG52</v>
      </c>
      <c r="D298" s="4" t="str">
        <f ca="1">IFERROR(__xludf.DUMMYFUNCTION("""COMPUTED_VALUE"""),"Продление подписки на обновления 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Интер"&amp;"нет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отг"&amp;"рузка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"&amp;"изменение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8" s="4" t="str">
        <f ca="1">IFERROR(__xludf.DUMMYFUNCTION("""COMPUTED_VALUE"""),"Продление подписки на обновления 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«Штрих-М: Торговое предприятие 5.2», для работы с маркированным товаром: АЛКОГОЛЬ, ТАБАК и товары по штрихкодам  на 1 (один) год</v>
      </c>
      <c r="F298" s="5">
        <f ca="1">IFERROR(__xludf.DUMMYFUNCTION("""COMPUTED_VALUE"""),2430)</f>
        <v>2430</v>
      </c>
    </row>
    <row r="299" spans="1:6" ht="72" customHeight="1" x14ac:dyDescent="0.2">
      <c r="A299" s="4" t="str">
        <f ca="1">IFERROR(__xludf.DUMMYFUNCTION("""COMPUTED_VALUE"""),"«Штрих-М: Торговое предприятие 5.2»")</f>
        <v>«Штрих-М: Торговое предприятие 5.2»</v>
      </c>
      <c r="B299" s="4" t="str">
        <f ca="1">IFERROR(__xludf.DUMMYFUNCTION("""COMPUTED_VALUE"""),"с ЕГАИС и МОТП, РАСШИРЕННЫЙ")</f>
        <v>с ЕГАИС и МОТП, РАСШИРЕННЫЙ</v>
      </c>
      <c r="C299" s="4" t="str">
        <f ca="1">IFERROR(__xludf.DUMMYFUNCTION("""COMPUTED_VALUE"""),"SSY1-RTL15BET-SHMTORG52")</f>
        <v>SSY1-RTL15BET-SHMTORG52</v>
      </c>
      <c r="D299" s="4" t="str">
        <f ca="1">IFERROR(__xludf.DUMMYFUNCTION("""COMPUTED_VALUE"""),"Продление подписки на обновления 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И"&amp;"нтернет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т.ч."&amp;"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экран"&amp;"е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299" s="4" t="str">
        <f ca="1">IFERROR(__xludf.DUMMYFUNCTION("""COMPUTED_VALUE"""),"Продление подписки на обновления 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«Штрих-М: Торговое предприятие 5.2», для работы с маркированным товаром: АЛКОГОЛЬ, ТАБАК и товары по штрихкодам  на 1 (один) год</v>
      </c>
      <c r="F299" s="5">
        <f ca="1">IFERROR(__xludf.DUMMYFUNCTION("""COMPUTED_VALUE"""),3710)</f>
        <v>3710</v>
      </c>
    </row>
    <row r="300" spans="1:6" ht="72" customHeight="1" x14ac:dyDescent="0.2">
      <c r="A300" s="4" t="str">
        <f ca="1">IFERROR(__xludf.DUMMYFUNCTION("""COMPUTED_VALUE"""),"«Штрих-М: Торговое предприятие 5.2»")</f>
        <v>«Штрих-М: Торговое предприятие 5.2»</v>
      </c>
      <c r="B300" s="4" t="str">
        <f ca="1">IFERROR(__xludf.DUMMYFUNCTION("""COMPUTED_VALUE"""),"с ЕГАИС и МОТП, МЕГАМАРКЕТ")</f>
        <v>с ЕГАИС и МОТП, МЕГАМАРКЕТ</v>
      </c>
      <c r="C300" s="4" t="str">
        <f ca="1">IFERROR(__xludf.DUMMYFUNCTION("""COMPUTED_VALUE"""),"SSY1-RTL15CET-SHMTORG52")</f>
        <v>SSY1-RTL15CET-SHMTORG52</v>
      </c>
      <c r="D300" s="4" t="str">
        <f ca="1">IFERROR(__xludf.DUMMYFUNCTION("""COMPUTED_VALUE"""),"Продление подписки на обновления 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Ин"&amp;"тернет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"&amp;"отгрузка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остат"&amp;"ках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0" s="4" t="str">
        <f ca="1">IFERROR(__xludf.DUMMYFUNCTION("""COMPUTED_VALUE"""),"Продление подписки на обновления 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«Штрих-М: Торговое предприятие 5.2», для работы с маркированным товаром: АЛКОГОЛЬ, ТАБАК и товары по штрихкодам  на 1 (один) год</v>
      </c>
      <c r="F300" s="5">
        <f ca="1">IFERROR(__xludf.DUMMYFUNCTION("""COMPUTED_VALUE"""),5270)</f>
        <v>5270</v>
      </c>
    </row>
    <row r="301" spans="1:6" ht="72" customHeight="1" x14ac:dyDescent="0.2">
      <c r="A301" s="4" t="str">
        <f ca="1">IFERROR(__xludf.DUMMYFUNCTION("""COMPUTED_VALUE"""),"«Штрих-М: Торговое предприятие 5.2»")</f>
        <v>«Штрих-М: Торговое предприятие 5.2»</v>
      </c>
      <c r="B301" s="4" t="str">
        <f ca="1">IFERROR(__xludf.DUMMYFUNCTION("""COMPUTED_VALUE"""),"ШМОТКИ, БАЗОВЫЙ")</f>
        <v>ШМОТКИ, БАЗОВЫЙ</v>
      </c>
      <c r="C301" s="4" t="str">
        <f ca="1">IFERROR(__xludf.DUMMYFUNCTION("""COMPUTED_VALUE"""),"SSY1-RTL15AK-SHMTORG52")</f>
        <v>SSY1-RTL15AK-SHMTORG52</v>
      </c>
      <c r="D301" s="4" t="str">
        <f ca="1">IFERROR(__xludf.DUMMYFUNCTION("""COMPUTED_VALUE"""),"Продление подписки на обновления 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И"&amp;"нтернет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справочников,"&amp;"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Продление подписки на обновления 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1" s="4" t="str">
        <f ca="1">IFERROR(__xludf.DUMMYFUNCTION("""COMPUTED_VALUE"""),"Продление подписки на обновления 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«Штрих-М: Торговое предприятие 5.2», для работы с маркированным товаром: ОБУВЬ, ОДЕЖДА, ПАРФЮМ, ШИНЫ и товары по штрихкодам  на 1 (один) год</v>
      </c>
      <c r="F301" s="5">
        <f ca="1">IFERROR(__xludf.DUMMYFUNCTION("""COMPUTED_VALUE"""),2430)</f>
        <v>2430</v>
      </c>
    </row>
    <row r="302" spans="1:6" ht="72" customHeight="1" x14ac:dyDescent="0.2">
      <c r="A302" s="4" t="str">
        <f ca="1">IFERROR(__xludf.DUMMYFUNCTION("""COMPUTED_VALUE"""),"«Штрих-М: Торговое предприятие 5.2»")</f>
        <v>«Штрих-М: Торговое предприятие 5.2»</v>
      </c>
      <c r="B302" s="4" t="str">
        <f ca="1">IFERROR(__xludf.DUMMYFUNCTION("""COMPUTED_VALUE"""),"ШМОТКИ, РАСШИРЕННЫЙ")</f>
        <v>ШМОТКИ, РАСШИРЕННЫЙ</v>
      </c>
      <c r="C302" s="4" t="str">
        <f ca="1">IFERROR(__xludf.DUMMYFUNCTION("""COMPUTED_VALUE"""),"SSY1-RTL15BK-SHMTORG52")</f>
        <v>SSY1-RTL15BK-SHMTORG52</v>
      </c>
      <c r="D302" s="4" t="str">
        <f ca="1">IFERROR(__xludf.DUMMYFUNCTION("""COMPUTED_VALUE"""),"Продление подписки на обновления 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чер"&amp;"ез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справочни"&amp;"ков,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"&amp;"обновления и обмен через Интернет на 1 (один) год")</f>
        <v>Продление подписки на обновления 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2" s="4" t="str">
        <f ca="1">IFERROR(__xludf.DUMMYFUNCTION("""COMPUTED_VALUE"""),"Продление подписки на обновления 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«Штрих-М: Торговое предприятие 5.2», для работы с маркированным товаром: ОБУВЬ, ОДЕЖДА, ПАРФЮМ, ШИНЫ и товары по штрихкодам  на 1 (один) год</v>
      </c>
      <c r="F302" s="5">
        <f ca="1">IFERROR(__xludf.DUMMYFUNCTION("""COMPUTED_VALUE"""),3710)</f>
        <v>3710</v>
      </c>
    </row>
    <row r="303" spans="1:6" ht="72" customHeight="1" x14ac:dyDescent="0.2">
      <c r="A303" s="4" t="str">
        <f ca="1">IFERROR(__xludf.DUMMYFUNCTION("""COMPUTED_VALUE"""),"«Штрих-М: Торговое предприятие 5.2»")</f>
        <v>«Штрих-М: Торговое предприятие 5.2»</v>
      </c>
      <c r="B303" s="4" t="str">
        <f ca="1">IFERROR(__xludf.DUMMYFUNCTION("""COMPUTED_VALUE"""),"ШМОТКИ, МЕГАМАРКЕТ")</f>
        <v>ШМОТКИ, МЕГАМАРКЕТ</v>
      </c>
      <c r="C303" s="4" t="str">
        <f ca="1">IFERROR(__xludf.DUMMYFUNCTION("""COMPUTED_VALUE"""),"SSY1-RTL15CK-SHMTORG52")</f>
        <v>SSY1-RTL15CK-SHMTORG52</v>
      </c>
      <c r="D303" s="4" t="str">
        <f ca="1">IFERROR(__xludf.DUMMYFUNCTION("""COMPUTED_VALUE"""),"Продление подписки на обновления 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чере"&amp;"з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справочник"&amp;"ов,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устр"&amp;"ойство, подписка на обновления и обмен через Интернет на 1 (один) год")</f>
        <v>Продление подписки на обновления 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3" s="4" t="str">
        <f ca="1">IFERROR(__xludf.DUMMYFUNCTION("""COMPUTED_VALUE"""),"Продление подписки на обновления 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«Штрих-М: Торговое предприятие 5.2», для работы с маркированным товаром: ОБУВЬ, ОДЕЖДА, ПАРФЮМ, ШИНЫ и товары по штрихкодам  на 1 (один) год</v>
      </c>
      <c r="F303" s="5">
        <f ca="1">IFERROR(__xludf.DUMMYFUNCTION("""COMPUTED_VALUE"""),5270)</f>
        <v>5270</v>
      </c>
    </row>
    <row r="304" spans="1:6" ht="72" customHeight="1" x14ac:dyDescent="0.2">
      <c r="A304" s="4" t="str">
        <f ca="1">IFERROR(__xludf.DUMMYFUNCTION("""COMPUTED_VALUE"""),"«Штрих-М: Торговое предприятие 5.2»")</f>
        <v>«Штрих-М: Торговое предприятие 5.2»</v>
      </c>
      <c r="B304" s="4" t="str">
        <f ca="1">IFERROR(__xludf.DUMMYFUNCTION("""COMPUTED_VALUE"""),"ПРОДУКТОВЫЙ, БАЗОВЫЙ")</f>
        <v>ПРОДУКТОВЫЙ, БАЗОВЫЙ</v>
      </c>
      <c r="C304" s="4" t="str">
        <f ca="1">IFERROR(__xludf.DUMMYFUNCTION("""COMPUTED_VALUE"""),"SSY1-RTL15AG-SHMTORG52")</f>
        <v>SSY1-RTL15AG-SHMTORG52</v>
      </c>
      <c r="D304" s="4" t="str">
        <f ca="1">IFERROR(__xludf.DUMMYFUNCTION("""COMPUTED_VALUE"""),"Продление подписки на обновления 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"&amp;"проводной,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принтер),"&amp;"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складах"&amp;",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4" s="4" t="str">
        <f ca="1">IFERROR(__xludf.DUMMYFUNCTION("""COMPUTED_VALUE"""),"Продление подписки на обновления 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 на 1 (один"&amp;") год")</f>
        <v>Продление подписки на обновления Mobile SMARTS: Магазин 15 ПРОДУКТОВЫЙ, БАЗОВЫЙ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04" s="5">
        <f ca="1">IFERROR(__xludf.DUMMYFUNCTION("""COMPUTED_VALUE"""),2910)</f>
        <v>2910</v>
      </c>
    </row>
    <row r="305" spans="1:6" ht="72" customHeight="1" x14ac:dyDescent="0.2">
      <c r="A305" s="4" t="str">
        <f ca="1">IFERROR(__xludf.DUMMYFUNCTION("""COMPUTED_VALUE"""),"«Штрих-М: Торговое предприятие 5.2»")</f>
        <v>«Штрих-М: Торговое предприятие 5.2»</v>
      </c>
      <c r="B305" s="4" t="str">
        <f ca="1">IFERROR(__xludf.DUMMYFUNCTION("""COMPUTED_VALUE"""),"ПРОДУКТОВЫЙ, РАСШИРЕННЫЙ")</f>
        <v>ПРОДУКТОВЫЙ, РАСШИРЕННЫЙ</v>
      </c>
      <c r="C305" s="4" t="str">
        <f ca="1">IFERROR(__xludf.DUMMYFUNCTION("""COMPUTED_VALUE"""),"SSY1-RTL15BG-SHMTORG52")</f>
        <v>SSY1-RTL15BG-SHMTORG52</v>
      </c>
      <c r="D305" s="4" t="str">
        <f ca="1">IFERROR(__xludf.DUMMYFUNCTION("""COMPUTED_VALUE"""),"Продление подписки на обновления 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вы"&amp;"бор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принт"&amp;"ер),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скл"&amp;"адах,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5" s="4" t="str">
        <f ca="1">IFERROR(__xludf.DUMMYFUNCTION("""COMPUTED_VALUE"""),"Продление подписки на обновления 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 на 1 ("&amp;"один) год")</f>
        <v>Продление подписки на обновления Mobile SMARTS: Магазин 15 ПРОДУКТОВЫЙ, РАСШИРЕННЫЙ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05" s="5">
        <f ca="1">IFERROR(__xludf.DUMMYFUNCTION("""COMPUTED_VALUE"""),4190)</f>
        <v>4190</v>
      </c>
    </row>
    <row r="306" spans="1:6" ht="72" customHeight="1" x14ac:dyDescent="0.2">
      <c r="A306" s="4" t="str">
        <f ca="1">IFERROR(__xludf.DUMMYFUNCTION("""COMPUTED_VALUE"""),"«Штрих-М: Торговое предприятие 5.2»")</f>
        <v>«Штрих-М: Торговое предприятие 5.2»</v>
      </c>
      <c r="B306" s="4" t="str">
        <f ca="1">IFERROR(__xludf.DUMMYFUNCTION("""COMPUTED_VALUE"""),"ПРОДУКТОВЫЙ, МЕГАМАРКЕТ")</f>
        <v>ПРОДУКТОВЫЙ, МЕГАМАРКЕТ</v>
      </c>
      <c r="C306" s="4" t="str">
        <f ca="1">IFERROR(__xludf.DUMMYFUNCTION("""COMPUTED_VALUE"""),"SSY1-RTL15CG-SHMTORG52")</f>
        <v>SSY1-RTL15CG-SHMTORG52</v>
      </c>
      <c r="D306" s="4" t="str">
        <f ca="1">IFERROR(__xludf.DUMMYFUNCTION("""COMPUTED_VALUE"""),"Продление подписки на обновления 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инфо"&amp;"рмация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6" s="4" t="str">
        <f ca="1">IFERROR(__xludf.DUMMYFUNCTION("""COMPUTED_VALUE"""),"Продление подписки на обновления 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 на 1 (о"&amp;"дин) год")</f>
        <v>Продление подписки на обновления Mobile SMARTS: Магазин 15 ПРОДУКТОВЫЙ, МЕГАМАРКЕТ для «Штрих-М: Торговое предприятие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06" s="5">
        <f ca="1">IFERROR(__xludf.DUMMYFUNCTION("""COMPUTED_VALUE"""),5650)</f>
        <v>5650</v>
      </c>
    </row>
    <row r="307" spans="1:6" ht="72" customHeight="1" x14ac:dyDescent="0.2">
      <c r="A307" s="4" t="str">
        <f ca="1">IFERROR(__xludf.DUMMYFUNCTION("""COMPUTED_VALUE"""),"«Штрих-М: Продуктовый магазин 5.2»")</f>
        <v>«Штрих-М: Продуктовый магазин 5.2»</v>
      </c>
      <c r="B307" s="4" t="str">
        <f ca="1">IFERROR(__xludf.DUMMYFUNCTION("""COMPUTED_VALUE"""),"МИНИМУМ")</f>
        <v>МИНИМУМ</v>
      </c>
      <c r="C307" s="4" t="str">
        <f ca="1">IFERROR(__xludf.DUMMYFUNCTION("""COMPUTED_VALUE"""),"SSY1-RTL15M-SHMGSTORE52")</f>
        <v>SSY1-RTL15M-SHMGSTORE52</v>
      </c>
      <c r="D307" s="4" t="str">
        <f ca="1">IFERROR(__xludf.DUMMYFUNCTION("""COMPUTED_VALUE"""),"Продление подписки на обновления Mobile SMARTS: Магазин 15, МИНИМУМ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штрихкодов,"&amp;"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обновления"&amp;" и обмен через Интернет на 1 (один) год")</f>
        <v>Продление подписки на обновления Mobile SMARTS: Магазин 15, МИНИМУМ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07" s="4" t="str">
        <f ca="1">IFERROR(__xludf.DUMMYFUNCTION("""COMPUTED_VALUE"""),"Продление подписки на обновления Mobile SMARTS: Магазин 15, МИНИМУМ для «Штрих-М: Продуктовый магазин 5.2», для работы с товаром по штрихкодам  на 1 (один) год")</f>
        <v>Продление подписки на обновления Mobile SMARTS: Магазин 15, МИНИМУМ для «Штрих-М: Продуктовый магазин 5.2», для работы с товаром по штрихкодам  на 1 (один) год</v>
      </c>
      <c r="F307" s="5">
        <f ca="1">IFERROR(__xludf.DUMMYFUNCTION("""COMPUTED_VALUE"""),690)</f>
        <v>690</v>
      </c>
    </row>
    <row r="308" spans="1:6" ht="72" customHeight="1" x14ac:dyDescent="0.2">
      <c r="A308" s="4" t="str">
        <f ca="1">IFERROR(__xludf.DUMMYFUNCTION("""COMPUTED_VALUE"""),"«Штрих-М: Продуктовый магазин 5.2»")</f>
        <v>«Штрих-М: Продуктовый магазин 5.2»</v>
      </c>
      <c r="B308" s="4" t="str">
        <f ca="1">IFERROR(__xludf.DUMMYFUNCTION("""COMPUTED_VALUE"""),"БАЗОВЫЙ")</f>
        <v>БАЗОВЫЙ</v>
      </c>
      <c r="C308" s="4" t="str">
        <f ca="1">IFERROR(__xludf.DUMMYFUNCTION("""COMPUTED_VALUE"""),"SSY1-RTL15A-SHMGSTORE52")</f>
        <v>SSY1-RTL15A-SHMGSTORE52</v>
      </c>
      <c r="D308" s="4" t="str">
        <f ca="1">IFERROR(__xludf.DUMMYFUNCTION("""COMPUTED_VALUE"""),"Продление подписки на обновления Mobile SMARTS: Магазин 15, БАЗОВЫЙ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инв"&amp;"ентаризация,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«Штрих-М: Продуктовый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8" s="4" t="str">
        <f ca="1">IFERROR(__xludf.DUMMYFUNCTION("""COMPUTED_VALUE"""),"Продление подписки на обновления Mobile SMARTS: Магазин 15, БАЗОВЫЙ для «Штрих-М: Продуктовый магазин 5.2», для работы с товаром по штрихкодам  на 1 (один) год")</f>
        <v>Продление подписки на обновления Mobile SMARTS: Магазин 15, БАЗОВЫЙ для «Штрих-М: Продуктовый магазин 5.2», для работы с товаром по штрихкодам  на 1 (один) год</v>
      </c>
      <c r="F308" s="5">
        <f ca="1">IFERROR(__xludf.DUMMYFUNCTION("""COMPUTED_VALUE"""),1730)</f>
        <v>1730</v>
      </c>
    </row>
    <row r="309" spans="1:6" ht="72" customHeight="1" x14ac:dyDescent="0.2">
      <c r="A309" s="4" t="str">
        <f ca="1">IFERROR(__xludf.DUMMYFUNCTION("""COMPUTED_VALUE"""),"«Штрих-М: Продуктовый магазин 5.2»")</f>
        <v>«Штрих-М: Продуктовый магазин 5.2»</v>
      </c>
      <c r="B309" s="4" t="str">
        <f ca="1">IFERROR(__xludf.DUMMYFUNCTION("""COMPUTED_VALUE"""),"РАСШИРЕННЫЙ")</f>
        <v>РАСШИРЕННЫЙ</v>
      </c>
      <c r="C309" s="4" t="str">
        <f ca="1">IFERROR(__xludf.DUMMYFUNCTION("""COMPUTED_VALUE"""),"SSY1-RTL15B-SHMGSTORE52")</f>
        <v>SSY1-RTL15B-SHMGSTORE52</v>
      </c>
      <c r="D309" s="4" t="str">
        <f ca="1">IFERROR(__xludf.DUMMYFUNCTION("""COMPUTED_VALUE"""),"Продление подписки на обновления Mobile SMARTS: Магазин 15, РАСШИРЕННЫЙ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"&amp;"ценах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09" s="4" t="str">
        <f ca="1">IFERROR(__xludf.DUMMYFUNCTION("""COMPUTED_VALUE"""),"Продление подписки на обновления Mobile SMARTS: Магазин 15, РАСШИРЕННЫЙ для «Штрих-М: Продуктовый магазин 5.2», для работы с товаром по штрихкодам  на 1 (один) год")</f>
        <v>Продление подписки на обновления Mobile SMARTS: Магазин 15, РАСШИРЕННЫЙ для «Штрих-М: Продуктовый магазин 5.2», для работы с товаром по штрихкодам  на 1 (один) год</v>
      </c>
      <c r="F309" s="5">
        <f ca="1">IFERROR(__xludf.DUMMYFUNCTION("""COMPUTED_VALUE"""),3010)</f>
        <v>3010</v>
      </c>
    </row>
    <row r="310" spans="1:6" ht="72" customHeight="1" x14ac:dyDescent="0.2">
      <c r="A310" s="4" t="str">
        <f ca="1">IFERROR(__xludf.DUMMYFUNCTION("""COMPUTED_VALUE"""),"«Штрих-М: Продуктовый магазин 5.2»")</f>
        <v>«Штрих-М: Продуктовый магазин 5.2»</v>
      </c>
      <c r="B310" s="4" t="str">
        <f ca="1">IFERROR(__xludf.DUMMYFUNCTION("""COMPUTED_VALUE"""),"МЕГАМАРКЕТ")</f>
        <v>МЕГАМАРКЕТ</v>
      </c>
      <c r="C310" s="4" t="str">
        <f ca="1">IFERROR(__xludf.DUMMYFUNCTION("""COMPUTED_VALUE"""),"SSY1-RTL15C-SHMGSTORE52")</f>
        <v>SSY1-RTL15C-SHMGSTORE52</v>
      </c>
      <c r="D310" s="4" t="str">
        <f ca="1">IFERROR(__xludf.DUMMYFUNCTION("""COMPUTED_VALUE"""),"Продление подписки на обновления Mobile SMARTS: Магазин 15, МЕГАМАРКЕТ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"&amp;"инвентаризация,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контр"&amp;"агентах,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«Штрих-М: Продуктовый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0" s="4" t="str">
        <f ca="1">IFERROR(__xludf.DUMMYFUNCTION("""COMPUTED_VALUE"""),"Продление подписки на обновления Mobile SMARTS: Магазин 15, МЕГАМАРКЕТ для «Штрих-М: Продуктовый магазин 5.2», для работы с товаром по штрихкодам  на 1 (один) год")</f>
        <v>Продление подписки на обновления Mobile SMARTS: Магазин 15, МЕГАМАРКЕТ для «Штрих-М: Продуктовый магазин 5.2», для работы с товаром по штрихкодам  на 1 (один) год</v>
      </c>
      <c r="F310" s="5">
        <f ca="1">IFERROR(__xludf.DUMMYFUNCTION("""COMPUTED_VALUE"""),4310)</f>
        <v>4310</v>
      </c>
    </row>
    <row r="311" spans="1:6" ht="72" customHeight="1" x14ac:dyDescent="0.2">
      <c r="A311" s="4" t="str">
        <f ca="1">IFERROR(__xludf.DUMMYFUNCTION("""COMPUTED_VALUE"""),"«Штрих-М: Продуктовый магазин 5.2»")</f>
        <v>«Штрих-М: Продуктовый магазин 5.2»</v>
      </c>
      <c r="B311" s="4" t="str">
        <f ca="1">IFERROR(__xludf.DUMMYFUNCTION("""COMPUTED_VALUE"""),"с ЕГАИС, БАЗОВЫЙ")</f>
        <v>с ЕГАИС, БАЗОВЫЙ</v>
      </c>
      <c r="C311" s="4" t="str">
        <f ca="1">IFERROR(__xludf.DUMMYFUNCTION("""COMPUTED_VALUE"""),"SSY1-RTL15AE-SHMGSTORE52")</f>
        <v>SSY1-RTL15AE-SHMGSTORE52</v>
      </c>
      <c r="D311" s="4" t="str">
        <f ca="1">IFERROR(__xludf.DUMMYFUNCTION("""COMPUTED_VALUE"""),"Продление подписки на обновления Mobile SMARTS: Магазин 15 с ЕГАИС, БАЗОВЫЙ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нет"&amp;"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печ"&amp;"ать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Инт"&amp;"ернет на 1 (один) год")</f>
        <v>Продление подписки на обновления Mobile SMARTS: Магазин 15 с ЕГАИС, БАЗОВЫЙ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11" s="4" t="str">
        <f ca="1">IFERROR(__xludf.DUMMYFUNCTION("""COMPUTED_VALUE"""),"Продление подписки на обновления Mobile SMARTS: Магазин 15 с ЕГАИС, БАЗОВЫЙ для «Штрих-М: Продуктовый магазин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«Штрих-М: Продуктовый магазин 5.2», для работы с маркированным товаром: алкоголь ЕГАИС и товары по штрихкодам  на 1 (один) год</v>
      </c>
      <c r="F311" s="5">
        <f ca="1">IFERROR(__xludf.DUMMYFUNCTION("""COMPUTED_VALUE"""),2200)</f>
        <v>2200</v>
      </c>
    </row>
    <row r="312" spans="1:6" ht="72" customHeight="1" x14ac:dyDescent="0.2">
      <c r="A312" s="4" t="str">
        <f ca="1">IFERROR(__xludf.DUMMYFUNCTION("""COMPUTED_VALUE"""),"«Штрих-М: Продуктовый магазин 5.2»")</f>
        <v>«Штрих-М: Продуктовый магазин 5.2»</v>
      </c>
      <c r="B312" s="4" t="str">
        <f ca="1">IFERROR(__xludf.DUMMYFUNCTION("""COMPUTED_VALUE"""),"с ЕГАИС, РАСШИРЕННЫЙ")</f>
        <v>с ЕГАИС, РАСШИРЕННЫЙ</v>
      </c>
      <c r="C312" s="4" t="str">
        <f ca="1">IFERROR(__xludf.DUMMYFUNCTION("""COMPUTED_VALUE"""),"SSY1-RTL15BE-SHMGSTORE52")</f>
        <v>SSY1-RTL15BE-SHMGSTORE52</v>
      </c>
      <c r="D312" s="4" t="str">
        <f ca="1">IFERROR(__xludf.DUMMYFUNCTION("""COMPUTED_VALUE"""),"Продление подписки на обновления Mobile SMARTS: Магазин 15 с ЕГАИС, РАСШИРЕННЫЙ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/"&amp;"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возможности:"&amp;"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Продление подписки на обновления Mobile SMARTS: Магазин 15 с ЕГАИС, РАСШИРЕННЫЙ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2" s="4" t="str">
        <f ca="1">IFERROR(__xludf.DUMMYFUNCTION("""COMPUTED_VALUE"""),"Продление подписки на обновления Mobile SMARTS: Магазин 15 с ЕГАИС, РАСШИРЕННЫЙ для «Штрих-М: Продуктовый магазин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«Штрих-М: Продуктовый магазин 5.2», для работы с маркированным товаром: алкоголь ЕГАИС и товары по штрихкодам  на 1 (один) год</v>
      </c>
      <c r="F312" s="5">
        <f ca="1">IFERROR(__xludf.DUMMYFUNCTION("""COMPUTED_VALUE"""),3490)</f>
        <v>3490</v>
      </c>
    </row>
    <row r="313" spans="1:6" ht="72" customHeight="1" x14ac:dyDescent="0.2">
      <c r="A313" s="4" t="str">
        <f ca="1">IFERROR(__xludf.DUMMYFUNCTION("""COMPUTED_VALUE"""),"«Штрих-М: Продуктовый магазин 5.2»")</f>
        <v>«Штрих-М: Продуктовый магазин 5.2»</v>
      </c>
      <c r="B313" s="4" t="str">
        <f ca="1">IFERROR(__xludf.DUMMYFUNCTION("""COMPUTED_VALUE"""),"с ЕГАИС (без CheckMark2), МЕГАМАРКЕТ")</f>
        <v>с ЕГАИС (без CheckMark2), МЕГАМАРКЕТ</v>
      </c>
      <c r="C313" s="4" t="str">
        <f ca="1">IFERROR(__xludf.DUMMYFUNCTION("""COMPUTED_VALUE"""),"SSY1-RTL15CEV-SHMGSTORE52")</f>
        <v>SSY1-RTL15CEV-SHMGSTORE52</v>
      </c>
      <c r="D313" s="4" t="str">
        <f ca="1">IFERROR(__xludf.DUMMYFUNCTION("""COMPUTED_VALUE"""),"Продление подписки на обновления 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"&amp;"через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QR-кодо"&amp;"в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устройс"&amp;"тво,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3" s="4" t="str">
        <f ca="1">IFERROR(__xludf.DUMMYFUNCTION("""COMPUTED_VALUE"""),"Продление подписки на обновления 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«Штрих-М: Продуктовый магазин 5.2», для работы с маркированным товаром: алкоголь ЕГАИС и товары по штрихкодам  на 1 (один) год</v>
      </c>
      <c r="F313" s="5">
        <f ca="1">IFERROR(__xludf.DUMMYFUNCTION("""COMPUTED_VALUE"""),4770)</f>
        <v>4770</v>
      </c>
    </row>
    <row r="314" spans="1:6" ht="72" customHeight="1" x14ac:dyDescent="0.2">
      <c r="A314" s="4" t="str">
        <f ca="1">IFERROR(__xludf.DUMMYFUNCTION("""COMPUTED_VALUE"""),"«Штрих-М: Продуктовый магазин 5.2»")</f>
        <v>«Штрих-М: Продуктовый магазин 5.2»</v>
      </c>
      <c r="B314" s="4" t="str">
        <f ca="1">IFERROR(__xludf.DUMMYFUNCTION("""COMPUTED_VALUE"""),"с МОТП, БАЗОВЫЙ")</f>
        <v>с МОТП, БАЗОВЫЙ</v>
      </c>
      <c r="C314" s="4" t="str">
        <f ca="1">IFERROR(__xludf.DUMMYFUNCTION("""COMPUTED_VALUE"""),"SSY1-RTL15AT-SHMGSTORE52")</f>
        <v>SSY1-RTL15AT-SHMGSTORE52</v>
      </c>
      <c r="D314" s="4" t="str">
        <f ca="1">IFERROR(__xludf.DUMMYFUNCTION("""COMPUTED_VALUE"""),"Продление подписки на обновления Mobile SMARTS: Магазин 15 с МОТП, БАЗОВЫЙ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нет онлайна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МОТП, БАЗОВЫЙ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4" s="4" t="str">
        <f ca="1">IFERROR(__xludf.DUMMYFUNCTION("""COMPUTED_VALUE"""),"Продление подписки на обновления Mobile SMARTS: Магазин 15 с МОТП, БАЗОВЫЙ для «Штрих-М: Продуктовый магазин 5.2»,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«Штрих-М: Продуктовый магазин 5.2», для работы с маркированным товаром: ТАБАК и товары по штрихкодам  на 1 (один) год</v>
      </c>
      <c r="F314" s="5">
        <f ca="1">IFERROR(__xludf.DUMMYFUNCTION("""COMPUTED_VALUE"""),2230)</f>
        <v>2230</v>
      </c>
    </row>
    <row r="315" spans="1:6" ht="72" customHeight="1" x14ac:dyDescent="0.2">
      <c r="A315" s="4" t="str">
        <f ca="1">IFERROR(__xludf.DUMMYFUNCTION("""COMPUTED_VALUE"""),"«Штрих-М: Продуктовый магазин 5.2»")</f>
        <v>«Штрих-М: Продуктовый магазин 5.2»</v>
      </c>
      <c r="B315" s="4" t="str">
        <f ca="1">IFERROR(__xludf.DUMMYFUNCTION("""COMPUTED_VALUE"""),"с МОТП, РАСШИРЕННЫЙ")</f>
        <v>с МОТП, РАСШИРЕННЫЙ</v>
      </c>
      <c r="C315" s="4" t="str">
        <f ca="1">IFERROR(__xludf.DUMMYFUNCTION("""COMPUTED_VALUE"""),"SSY1-RTL15BT-SHMGSTORE52")</f>
        <v>SSY1-RTL15BT-SHMGSTORE52</v>
      </c>
      <c r="D315" s="4" t="str">
        <f ca="1">IFERROR(__xludf.DUMMYFUNCTION("""COMPUTED_VALUE"""),"Продление подписки на обновления Mobile SMARTS: Магазин 15 с МОТП, РАСШИРЕННЫЙ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Продление подписки на обновления Mobile SMARTS: Магазин 15 с МОТП, РАСШИРЕННЫЙ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5" s="4" t="str">
        <f ca="1">IFERROR(__xludf.DUMMYFUNCTION("""COMPUTED_VALUE"""),"Продление подписки на обновления Mobile SMARTS: Магазин 15 с МОТП, РАСШИРЕННЫЙ для «Штрих-М: Продуктовый магазин 5.2»,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«Штрих-М: Продуктовый магазин 5.2», для работы с маркированным товаром: ТАБАК и товары по штрихкодам  на 1 (один) год</v>
      </c>
      <c r="F315" s="5">
        <f ca="1">IFERROR(__xludf.DUMMYFUNCTION("""COMPUTED_VALUE"""),3490)</f>
        <v>3490</v>
      </c>
    </row>
    <row r="316" spans="1:6" ht="72" customHeight="1" x14ac:dyDescent="0.2">
      <c r="A316" s="4" t="str">
        <f ca="1">IFERROR(__xludf.DUMMYFUNCTION("""COMPUTED_VALUE"""),"«Штрих-М: Продуктовый магазин 5.2»")</f>
        <v>«Штрих-М: Продуктовый магазин 5.2»</v>
      </c>
      <c r="B316" s="4" t="str">
        <f ca="1">IFERROR(__xludf.DUMMYFUNCTION("""COMPUTED_VALUE"""),"с МОТП, МЕГАМАРКЕТ")</f>
        <v>с МОТП, МЕГАМАРКЕТ</v>
      </c>
      <c r="C316" s="4" t="str">
        <f ca="1">IFERROR(__xludf.DUMMYFUNCTION("""COMPUTED_VALUE"""),"SSY1-RTL15CT-SHMGSTORE52")</f>
        <v>SSY1-RTL15CT-SHMGSTORE52</v>
      </c>
      <c r="D316" s="4" t="str">
        <f ca="1">IFERROR(__xludf.DUMMYFUNCTION("""COMPUTED_VALUE"""),"Продление подписки на обновления Mobile SMARTS: Магазин 15 с МОТП, МЕГАМАРКЕТ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Продление подписки на обновления Mobile SMARTS: Магазин 15 с МОТП, МЕГАМАРКЕТ для «Штрих-М: Продуктовый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6" s="4" t="str">
        <f ca="1">IFERROR(__xludf.DUMMYFUNCTION("""COMPUTED_VALUE"""),"Продление подписки на обновления Mobile SMARTS: Магазин 15 с МОТП, МЕГАМАРКЕТ для «Штрих-М: Продуктовый магазин 5.2»,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«Штрих-М: Продуктовый магазин 5.2», для работы с маркированным товаром: ТАБАК и товары по штрихкодам  на 1 (один) год</v>
      </c>
      <c r="F316" s="5">
        <f ca="1">IFERROR(__xludf.DUMMYFUNCTION("""COMPUTED_VALUE"""),4770)</f>
        <v>4770</v>
      </c>
    </row>
    <row r="317" spans="1:6" ht="72" customHeight="1" x14ac:dyDescent="0.2">
      <c r="A317" s="4" t="str">
        <f ca="1">IFERROR(__xludf.DUMMYFUNCTION("""COMPUTED_VALUE"""),"«Штрих-М: Продуктовый магазин 5.2»")</f>
        <v>«Штрих-М: Продуктовый магазин 5.2»</v>
      </c>
      <c r="B317" s="4" t="str">
        <f ca="1">IFERROR(__xludf.DUMMYFUNCTION("""COMPUTED_VALUE"""),"с ЕГАИС и МОТП, БАЗОВЫЙ")</f>
        <v>с ЕГАИС и МОТП, БАЗОВЫЙ</v>
      </c>
      <c r="C317" s="4" t="str">
        <f ca="1">IFERROR(__xludf.DUMMYFUNCTION("""COMPUTED_VALUE"""),"SSY1-RTL15AET-SHMGSTORE52")</f>
        <v>SSY1-RTL15AET-SHMGSTORE52</v>
      </c>
      <c r="D317" s="4" t="str">
        <f ca="1">IFERROR(__xludf.DUMMYFUNCTION("""COMPUTED_VALUE"""),"Продление подписки на обновления 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Интерн"&amp;"ет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отгр"&amp;"узка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7" s="4" t="str">
        <f ca="1">IFERROR(__xludf.DUMMYFUNCTION("""COMPUTED_VALUE"""),"Продление подписки на обновления 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«Штрих-М: Продуктовый магазин 5.2», для работы с маркированным товаром: АЛКОГОЛЬ, ТАБАК и товары по штрихкодам  на 1 (один) год</v>
      </c>
      <c r="F317" s="5">
        <f ca="1">IFERROR(__xludf.DUMMYFUNCTION("""COMPUTED_VALUE"""),2430)</f>
        <v>2430</v>
      </c>
    </row>
    <row r="318" spans="1:6" ht="72" customHeight="1" x14ac:dyDescent="0.2">
      <c r="A318" s="4" t="str">
        <f ca="1">IFERROR(__xludf.DUMMYFUNCTION("""COMPUTED_VALUE"""),"«Штрих-М: Продуктовый магазин 5.2»")</f>
        <v>«Штрих-М: Продуктовый магазин 5.2»</v>
      </c>
      <c r="B318" s="4" t="str">
        <f ca="1">IFERROR(__xludf.DUMMYFUNCTION("""COMPUTED_VALUE"""),"с ЕГАИС и МОТП, РАСШИРЕННЫЙ")</f>
        <v>с ЕГАИС и МОТП, РАСШИРЕННЫЙ</v>
      </c>
      <c r="C318" s="4" t="str">
        <f ca="1">IFERROR(__xludf.DUMMYFUNCTION("""COMPUTED_VALUE"""),"SSY1-RTL15BET-SHMGSTORE52")</f>
        <v>SSY1-RTL15BET-SHMGSTORE52</v>
      </c>
      <c r="D318" s="4" t="str">
        <f ca="1">IFERROR(__xludf.DUMMYFUNCTION("""COMPUTED_VALUE"""),"Продление подписки на обновления 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Ин"&amp;"тернет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"&amp;"отгрузка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8" s="4" t="str">
        <f ca="1">IFERROR(__xludf.DUMMYFUNCTION("""COMPUTED_VALUE"""),"Продление подписки на обновления 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«Штрих-М: Продуктовый магазин 5.2», для работы с маркированным товаром: АЛКОГОЛЬ, ТАБАК и товары по штрихкодам  на 1 (один) год</v>
      </c>
      <c r="F318" s="5">
        <f ca="1">IFERROR(__xludf.DUMMYFUNCTION("""COMPUTED_VALUE"""),3710)</f>
        <v>3710</v>
      </c>
    </row>
    <row r="319" spans="1:6" ht="72" customHeight="1" x14ac:dyDescent="0.2">
      <c r="A319" s="4" t="str">
        <f ca="1">IFERROR(__xludf.DUMMYFUNCTION("""COMPUTED_VALUE"""),"«Штрих-М: Продуктовый магазин 5.2»")</f>
        <v>«Штрих-М: Продуктовый магазин 5.2»</v>
      </c>
      <c r="B319" s="4" t="str">
        <f ca="1">IFERROR(__xludf.DUMMYFUNCTION("""COMPUTED_VALUE"""),"с ЕГАИС и МОТП, МЕГАМАРКЕТ")</f>
        <v>с ЕГАИС и МОТП, МЕГАМАРКЕТ</v>
      </c>
      <c r="C319" s="4" t="str">
        <f ca="1">IFERROR(__xludf.DUMMYFUNCTION("""COMPUTED_VALUE"""),"SSY1-RTL15CET-SHMGSTORE52")</f>
        <v>SSY1-RTL15CET-SHMGSTORE52</v>
      </c>
      <c r="D319" s="4" t="str">
        <f ca="1">IFERROR(__xludf.DUMMYFUNCTION("""COMPUTED_VALUE"""),"Продление подписки на обновления 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Инт"&amp;"ернет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о"&amp;"тгрузка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19" s="4" t="str">
        <f ca="1">IFERROR(__xludf.DUMMYFUNCTION("""COMPUTED_VALUE"""),"Продление подписки на обновления 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«Штрих-М: Продуктовый магазин 5.2», для работы с маркированным товаром: АЛКОГОЛЬ, ТАБАК и товары по штрихкодам  на 1 (один) год</v>
      </c>
      <c r="F319" s="5">
        <f ca="1">IFERROR(__xludf.DUMMYFUNCTION("""COMPUTED_VALUE"""),5270)</f>
        <v>5270</v>
      </c>
    </row>
    <row r="320" spans="1:6" ht="72" customHeight="1" x14ac:dyDescent="0.2">
      <c r="A320" s="4" t="str">
        <f ca="1">IFERROR(__xludf.DUMMYFUNCTION("""COMPUTED_VALUE"""),"«Штрих-М: Продуктовый магазин 5.2»")</f>
        <v>«Штрих-М: Продуктовый магазин 5.2»</v>
      </c>
      <c r="B320" s="4" t="str">
        <f ca="1">IFERROR(__xludf.DUMMYFUNCTION("""COMPUTED_VALUE"""),"ШМОТКИ, БАЗОВЫЙ")</f>
        <v>ШМОТКИ, БАЗОВЫЙ</v>
      </c>
      <c r="C320" s="4" t="str">
        <f ca="1">IFERROR(__xludf.DUMMYFUNCTION("""COMPUTED_VALUE"""),"SSY1-RTL15AK-SHMGSTORE52")</f>
        <v>SSY1-RTL15AK-SHMGSTORE52</v>
      </c>
      <c r="D320" s="4" t="str">
        <f ca="1">IFERROR(__xludf.DUMMYFUNCTION("""COMPUTED_VALUE"""),"Продление подписки на обновления 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Ин"&amp;"тернет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"&amp;"настройки,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и обмен через Интернет на 1 (один) год")</f>
        <v>Продление подписки на обновления 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0" s="4" t="str">
        <f ca="1">IFERROR(__xludf.DUMMYFUNCTION("""COMPUTED_VALUE"""),"Продление подписки на обновления 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«Штрих-М: Продуктовый магазин 5.2», для работы с маркированным товаром: ОБУВЬ, ОДЕЖДА, ПАРФЮМ, ШИНЫ и товары по штрихкодам  на 1 (один) год</v>
      </c>
      <c r="F320" s="5">
        <f ca="1">IFERROR(__xludf.DUMMYFUNCTION("""COMPUTED_VALUE"""),2430)</f>
        <v>2430</v>
      </c>
    </row>
    <row r="321" spans="1:6" ht="72" customHeight="1" x14ac:dyDescent="0.2">
      <c r="A321" s="4" t="str">
        <f ca="1">IFERROR(__xludf.DUMMYFUNCTION("""COMPUTED_VALUE"""),"«Штрих-М: Продуктовый магазин 5.2»")</f>
        <v>«Штрих-М: Продуктовый магазин 5.2»</v>
      </c>
      <c r="B321" s="4" t="str">
        <f ca="1">IFERROR(__xludf.DUMMYFUNCTION("""COMPUTED_VALUE"""),"ШМОТКИ, РАСШИРЕННЫЙ")</f>
        <v>ШМОТКИ, РАСШИРЕННЫЙ</v>
      </c>
      <c r="C321" s="4" t="str">
        <f ca="1">IFERROR(__xludf.DUMMYFUNCTION("""COMPUTED_VALUE"""),"SSY1-RTL15BK-SHMGSTORE52")</f>
        <v>SSY1-RTL15BK-SHMGSTORE52</v>
      </c>
      <c r="D321" s="4" t="str">
        <f ca="1">IFERROR(__xludf.DUMMYFUNCTION("""COMPUTED_VALUE"""),"Продление подписки на обновления 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чере"&amp;"з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справочник"&amp;"ов,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и обмен через Интернет на 1 (один) год")</f>
        <v>Продление подписки на обновления 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1" s="4" t="str">
        <f ca="1">IFERROR(__xludf.DUMMYFUNCTION("""COMPUTED_VALUE"""),"Продление подписки на обновления 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«Штрих-М: Продуктовый магазин 5.2», для работы с маркированным товаром: ОБУВЬ, ОДЕЖДА, ПАРФЮМ, ШИНЫ и товары по штрихкодам  на 1 (один) год</v>
      </c>
      <c r="F321" s="5">
        <f ca="1">IFERROR(__xludf.DUMMYFUNCTION("""COMPUTED_VALUE"""),3710)</f>
        <v>3710</v>
      </c>
    </row>
    <row r="322" spans="1:6" ht="72" customHeight="1" x14ac:dyDescent="0.2">
      <c r="A322" s="4" t="str">
        <f ca="1">IFERROR(__xludf.DUMMYFUNCTION("""COMPUTED_VALUE"""),"«Штрих-М: Продуктовый магазин 5.2»")</f>
        <v>«Штрих-М: Продуктовый магазин 5.2»</v>
      </c>
      <c r="B322" s="4" t="str">
        <f ca="1">IFERROR(__xludf.DUMMYFUNCTION("""COMPUTED_VALUE"""),"ШМОТКИ, МЕГАМАРКЕТ")</f>
        <v>ШМОТКИ, МЕГАМАРКЕТ</v>
      </c>
      <c r="C322" s="4" t="str">
        <f ca="1">IFERROR(__xludf.DUMMYFUNCTION("""COMPUTED_VALUE"""),"SSY1-RTL15CK-SHMGSTORE52")</f>
        <v>SSY1-RTL15CK-SHMGSTORE52</v>
      </c>
      <c r="D322" s="4" t="str">
        <f ca="1">IFERROR(__xludf.DUMMYFUNCTION("""COMPUTED_VALUE"""),"Продление подписки на обновления 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через"&amp;"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справочнико"&amp;"в,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устро"&amp;"йство, подписка на обновления и обмен через Интернет на 1 (один) год")</f>
        <v>Продление подписки на обновления 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2" s="4" t="str">
        <f ca="1">IFERROR(__xludf.DUMMYFUNCTION("""COMPUTED_VALUE"""),"Продление подписки на обновления 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«Штрих-М: Продуктовый магазин 5.2», для работы с маркированным товаром: ОБУВЬ, ОДЕЖДА, ПАРФЮМ, ШИНЫ и товары по штрихкодам  на 1 (один) год</v>
      </c>
      <c r="F322" s="5">
        <f ca="1">IFERROR(__xludf.DUMMYFUNCTION("""COMPUTED_VALUE"""),5270)</f>
        <v>5270</v>
      </c>
    </row>
    <row r="323" spans="1:6" ht="72" customHeight="1" x14ac:dyDescent="0.2">
      <c r="A323" s="4" t="str">
        <f ca="1">IFERROR(__xludf.DUMMYFUNCTION("""COMPUTED_VALUE"""),"«Штрих-М: Продуктовый магазин 5.2»")</f>
        <v>«Штрих-М: Продуктовый магазин 5.2»</v>
      </c>
      <c r="B323" s="4" t="str">
        <f ca="1">IFERROR(__xludf.DUMMYFUNCTION("""COMPUTED_VALUE"""),"ПРОДУКТОВЫЙ, БАЗОВЫЙ")</f>
        <v>ПРОДУКТОВЫЙ, БАЗОВЫЙ</v>
      </c>
      <c r="C323" s="4" t="str">
        <f ca="1">IFERROR(__xludf.DUMMYFUNCTION("""COMPUTED_VALUE"""),"SSY1-RTL15AG-SHMGSTORE52")</f>
        <v>SSY1-RTL15AG-SHMGSTORE52</v>
      </c>
      <c r="D323" s="4" t="str">
        <f ca="1">IFERROR(__xludf.DUMMYFUNCTION("""COMPUTED_VALUE"""),"Продление подписки на обновления 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п"&amp;"роводной,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"&amp;"списание,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3" s="4" t="str">
        <f ca="1">IFERROR(__xludf.DUMMYFUNCTION("""COMPUTED_VALUE"""),"Продление подписки на обновления 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 на 1 (один)"&amp;" год")</f>
        <v>Продление подписки на обновления Mobile SMARTS: Магазин 15 ПРОДУКТОВЫЙ, БАЗОВЫЙ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23" s="5">
        <f ca="1">IFERROR(__xludf.DUMMYFUNCTION("""COMPUTED_VALUE"""),2910)</f>
        <v>2910</v>
      </c>
    </row>
    <row r="324" spans="1:6" ht="72" customHeight="1" x14ac:dyDescent="0.2">
      <c r="A324" s="4" t="str">
        <f ca="1">IFERROR(__xludf.DUMMYFUNCTION("""COMPUTED_VALUE"""),"«Штрих-М: Продуктовый магазин 5.2»")</f>
        <v>«Штрих-М: Продуктовый магазин 5.2»</v>
      </c>
      <c r="B324" s="4" t="str">
        <f ca="1">IFERROR(__xludf.DUMMYFUNCTION("""COMPUTED_VALUE"""),"ПРОДУКТОВЫЙ, РАСШИРЕННЫЙ")</f>
        <v>ПРОДУКТОВЫЙ, РАСШИРЕННЫЙ</v>
      </c>
      <c r="C324" s="4" t="str">
        <f ca="1">IFERROR(__xludf.DUMMYFUNCTION("""COMPUTED_VALUE"""),"SSY1-RTL15BG-SHMGSTORE52")</f>
        <v>SSY1-RTL15BG-SHMGSTORE52</v>
      </c>
      <c r="D324" s="4" t="str">
        <f ca="1">IFERROR(__xludf.DUMMYFUNCTION("""COMPUTED_VALUE"""),"Продление подписки на обновления 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4" s="4" t="str">
        <f ca="1">IFERROR(__xludf.DUMMYFUNCTION("""COMPUTED_VALUE"""),"Продление подписки на обновления 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 на 1 (о"&amp;"дин) год")</f>
        <v>Продление подписки на обновления Mobile SMARTS: Магазин 15 ПРОДУКТОВЫЙ, РАСШИРЕННЫЙ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24" s="5">
        <f ca="1">IFERROR(__xludf.DUMMYFUNCTION("""COMPUTED_VALUE"""),4190)</f>
        <v>4190</v>
      </c>
    </row>
    <row r="325" spans="1:6" ht="72" customHeight="1" x14ac:dyDescent="0.2">
      <c r="A325" s="4" t="str">
        <f ca="1">IFERROR(__xludf.DUMMYFUNCTION("""COMPUTED_VALUE"""),"«Штрих-М: Продуктовый магазин 5.2»")</f>
        <v>«Штрих-М: Продуктовый магазин 5.2»</v>
      </c>
      <c r="B325" s="4" t="str">
        <f ca="1">IFERROR(__xludf.DUMMYFUNCTION("""COMPUTED_VALUE"""),"ПРОДУКТОВЫЙ, МЕГАМАРКЕТ")</f>
        <v>ПРОДУКТОВЫЙ, МЕГАМАРКЕТ</v>
      </c>
      <c r="C325" s="4" t="str">
        <f ca="1">IFERROR(__xludf.DUMMYFUNCTION("""COMPUTED_VALUE"""),"SSY1-RTL15CG-SHMGSTORE52")</f>
        <v>SSY1-RTL15CG-SHMGSTORE52</v>
      </c>
      <c r="D325" s="4" t="str">
        <f ca="1">IFERROR(__xludf.DUMMYFUNCTION("""COMPUTED_VALUE"""),"Продление подписки на обновления 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выбо"&amp;"р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5" s="4" t="str">
        <f ca="1">IFERROR(__xludf.DUMMYFUNCTION("""COMPUTED_VALUE"""),"Продление подписки на обновления 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 на 1 (од"&amp;"ин) год")</f>
        <v>Продление подписки на обновления Mobile SMARTS: Магазин 15 ПРОДУКТОВЫЙ, МЕГАМАРКЕТ для «Штрих-М: Продуктовый магазин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25" s="5">
        <f ca="1">IFERROR(__xludf.DUMMYFUNCTION("""COMPUTED_VALUE"""),5650)</f>
        <v>5650</v>
      </c>
    </row>
    <row r="326" spans="1:6" ht="72" customHeight="1" x14ac:dyDescent="0.2">
      <c r="A326" s="4" t="str">
        <f ca="1">IFERROR(__xludf.DUMMYFUNCTION("""COMPUTED_VALUE"""),"«Штрих-М: Торговое предприятие 7.0»")</f>
        <v>«Штрих-М: Торговое предприятие 7.0»</v>
      </c>
      <c r="B326" s="4" t="str">
        <f ca="1">IFERROR(__xludf.DUMMYFUNCTION("""COMPUTED_VALUE"""),"МИНИМУМ")</f>
        <v>МИНИМУМ</v>
      </c>
      <c r="C326" s="4" t="str">
        <f ca="1">IFERROR(__xludf.DUMMYFUNCTION("""COMPUTED_VALUE"""),"SSY1-RTL15M-SHMTORG70")</f>
        <v>SSY1-RTL15M-SHMTORG70</v>
      </c>
      <c r="D326" s="4" t="str">
        <f ca="1">IFERROR(__xludf.DUMMYFUNCTION("""COMPUTED_VALUE"""),"Продление подписки на обновления Mobile SMARTS: Магазин 15, МИНИМУМ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сбор штрихкодов"&amp;",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обновлени"&amp;"я и обмен через Интернет на 1 (один) год")</f>
        <v>Продление подписки на обновления Mobile SMARTS: Магазин 15, МИНИМУМ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26" s="4" t="str">
        <f ca="1">IFERROR(__xludf.DUMMYFUNCTION("""COMPUTED_VALUE"""),"Продление подписки на обновления Mobile SMARTS: Магазин 15, МИНИМУМ для «Штрих-М: Торговое предприятие 7.0», для работы с товаром по штрихкодам  на 1 (один) год")</f>
        <v>Продление подписки на обновления Mobile SMARTS: Магазин 15, МИНИМУМ для «Штрих-М: Торговое предприятие 7.0», для работы с товаром по штрихкодам  на 1 (один) год</v>
      </c>
      <c r="F326" s="5">
        <f ca="1">IFERROR(__xludf.DUMMYFUNCTION("""COMPUTED_VALUE"""),690)</f>
        <v>690</v>
      </c>
    </row>
    <row r="327" spans="1:6" ht="72" customHeight="1" x14ac:dyDescent="0.2">
      <c r="A327" s="4" t="str">
        <f ca="1">IFERROR(__xludf.DUMMYFUNCTION("""COMPUTED_VALUE"""),"«Штрих-М: Торговое предприятие 7.0»")</f>
        <v>«Штрих-М: Торговое предприятие 7.0»</v>
      </c>
      <c r="B327" s="4" t="str">
        <f ca="1">IFERROR(__xludf.DUMMYFUNCTION("""COMPUTED_VALUE"""),"БАЗОВЫЙ")</f>
        <v>БАЗОВЫЙ</v>
      </c>
      <c r="C327" s="4" t="str">
        <f ca="1">IFERROR(__xludf.DUMMYFUNCTION("""COMPUTED_VALUE"""),"SSY1-RTL15A-SHMTORG70")</f>
        <v>SSY1-RTL15A-SHMTORG70</v>
      </c>
      <c r="D327" s="4" t="str">
        <f ca="1">IFERROR(__xludf.DUMMYFUNCTION("""COMPUTED_VALUE"""),"Продление подписки на обновления Mobile SMARTS: Магазин 15, БАЗОВЫЙ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поступление, ин"&amp;"вентаризация,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«Штрих-М: Торговое предприятие 7.0»,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7" s="4" t="str">
        <f ca="1">IFERROR(__xludf.DUMMYFUNCTION("""COMPUTED_VALUE"""),"Продление подписки на обновления Mobile SMARTS: Магазин 15, БАЗОВЫЙ для «Штрих-М: Торговое предприятие 7.0», для работы с товаром по штрихкодам  на 1 (один) год")</f>
        <v>Продление подписки на обновления Mobile SMARTS: Магазин 15, БАЗОВЫЙ для «Штрих-М: Торговое предприятие 7.0», для работы с товаром по штрихкодам  на 1 (один) год</v>
      </c>
      <c r="F327" s="5">
        <f ca="1">IFERROR(__xludf.DUMMYFUNCTION("""COMPUTED_VALUE"""),1730)</f>
        <v>1730</v>
      </c>
    </row>
    <row r="328" spans="1:6" ht="72" customHeight="1" x14ac:dyDescent="0.2">
      <c r="A328" s="4" t="str">
        <f ca="1">IFERROR(__xludf.DUMMYFUNCTION("""COMPUTED_VALUE"""),"«Штрих-М: Торговое предприятие 7.0»")</f>
        <v>«Штрих-М: Торговое предприятие 7.0»</v>
      </c>
      <c r="B328" s="4" t="str">
        <f ca="1">IFERROR(__xludf.DUMMYFUNCTION("""COMPUTED_VALUE"""),"РАСШИРЕННЫЙ")</f>
        <v>РАСШИРЕННЫЙ</v>
      </c>
      <c r="C328" s="4" t="str">
        <f ca="1">IFERROR(__xludf.DUMMYFUNCTION("""COMPUTED_VALUE"""),"SSY1-RTL15B-SHMTORG70")</f>
        <v>SSY1-RTL15B-SHMTORG70</v>
      </c>
      <c r="D328" s="4" t="str">
        <f ca="1">IFERROR(__xludf.DUMMYFUNCTION("""COMPUTED_VALUE"""),"Продление подписки на обновления Mobile SMARTS: Магазин 15, РАСШИРЕННЫЙ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поступление"&amp;",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8" s="4" t="str">
        <f ca="1">IFERROR(__xludf.DUMMYFUNCTION("""COMPUTED_VALUE"""),"Продление подписки на обновления Mobile SMARTS: Магазин 15, РАСШИРЕННЫЙ для «Штрих-М: Торговое предприятие 7.0», для работы с товаром по штрихкодам  на 1 (один) год")</f>
        <v>Продление подписки на обновления Mobile SMARTS: Магазин 15, РАСШИРЕННЫЙ для «Штрих-М: Торговое предприятие 7.0», для работы с товаром по штрихкодам  на 1 (один) год</v>
      </c>
      <c r="F328" s="5">
        <f ca="1">IFERROR(__xludf.DUMMYFUNCTION("""COMPUTED_VALUE"""),3010)</f>
        <v>3010</v>
      </c>
    </row>
    <row r="329" spans="1:6" ht="72" customHeight="1" x14ac:dyDescent="0.2">
      <c r="A329" s="4" t="str">
        <f ca="1">IFERROR(__xludf.DUMMYFUNCTION("""COMPUTED_VALUE"""),"«Штрих-М: Торговое предприятие 7.0»")</f>
        <v>«Штрих-М: Торговое предприятие 7.0»</v>
      </c>
      <c r="B329" s="4" t="str">
        <f ca="1">IFERROR(__xludf.DUMMYFUNCTION("""COMPUTED_VALUE"""),"МЕГАМАРКЕТ")</f>
        <v>МЕГАМАРКЕТ</v>
      </c>
      <c r="C329" s="4" t="str">
        <f ca="1">IFERROR(__xludf.DUMMYFUNCTION("""COMPUTED_VALUE"""),"SSY1-RTL15C-SHMTORG70")</f>
        <v>SSY1-RTL15C-SHMTORG70</v>
      </c>
      <c r="D329" s="4" t="str">
        <f ca="1">IFERROR(__xludf.DUMMYFUNCTION("""COMPUTED_VALUE"""),"Продление подписки на обновления Mobile SMARTS: Магазин 15, МЕГАМАРКЕТ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«Штрих-М: Торговое предприятие 7.0»,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29" s="4" t="str">
        <f ca="1">IFERROR(__xludf.DUMMYFUNCTION("""COMPUTED_VALUE"""),"Продление подписки на обновления Mobile SMARTS: Магазин 15, МЕГАМАРКЕТ для «Штрих-М: Торговое предприятие 7.0», для работы с товаром по штрихкодам  на 1 (один) год")</f>
        <v>Продление подписки на обновления Mobile SMARTS: Магазин 15, МЕГАМАРКЕТ для «Штрих-М: Торговое предприятие 7.0», для работы с товаром по штрихкодам  на 1 (один) год</v>
      </c>
      <c r="F329" s="5">
        <f ca="1">IFERROR(__xludf.DUMMYFUNCTION("""COMPUTED_VALUE"""),4310)</f>
        <v>4310</v>
      </c>
    </row>
    <row r="330" spans="1:6" ht="72" customHeight="1" x14ac:dyDescent="0.2">
      <c r="A330" s="4" t="str">
        <f ca="1">IFERROR(__xludf.DUMMYFUNCTION("""COMPUTED_VALUE"""),"«Штрих-М: Торговое предприятие 7.0»")</f>
        <v>«Штрих-М: Торговое предприятие 7.0»</v>
      </c>
      <c r="B330" s="4" t="str">
        <f ca="1">IFERROR(__xludf.DUMMYFUNCTION("""COMPUTED_VALUE"""),"с ЕГАИС, БАЗОВЫЙ")</f>
        <v>с ЕГАИС, БАЗОВЫЙ</v>
      </c>
      <c r="C330" s="4" t="str">
        <f ca="1">IFERROR(__xludf.DUMMYFUNCTION("""COMPUTED_VALUE"""),"SSY1-RTL15AE-SHMTORG70")</f>
        <v>SSY1-RTL15AE-SHMTORG70</v>
      </c>
      <c r="D330" s="4" t="str">
        <f ca="1">IFERROR(__xludf.DUMMYFUNCTION("""COMPUTED_VALUE"""),"Продление подписки на обновления Mobile SMARTS: Магазин 15 с ЕГАИС, БАЗОВЫЙ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не"&amp;"т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пе"&amp;"чать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ЕГАИС, БАЗОВЫЙ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30" s="4" t="str">
        <f ca="1">IFERROR(__xludf.DUMMYFUNCTION("""COMPUTED_VALUE"""),"Продление подписки на обновления Mobile SMARTS: Магазин 15 с ЕГАИС, БАЗОВЫЙ для «Штрих-М: Торговое предприятие 7.0»,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«Штрих-М: Торговое предприятие 7.0», для работы с маркированным товаром: алкоголь ЕГАИС и товары по штрихкодам  на 1 (один) год</v>
      </c>
      <c r="F330" s="5">
        <f ca="1">IFERROR(__xludf.DUMMYFUNCTION("""COMPUTED_VALUE"""),2200)</f>
        <v>2200</v>
      </c>
    </row>
    <row r="331" spans="1:6" ht="72" customHeight="1" x14ac:dyDescent="0.2">
      <c r="A331" s="4" t="str">
        <f ca="1">IFERROR(__xludf.DUMMYFUNCTION("""COMPUTED_VALUE"""),"«Штрих-М: Торговое предприятие 7.0»")</f>
        <v>«Штрих-М: Торговое предприятие 7.0»</v>
      </c>
      <c r="B331" s="4" t="str">
        <f ca="1">IFERROR(__xludf.DUMMYFUNCTION("""COMPUTED_VALUE"""),"с ЕГАИС, РАСШИРЕННЫЙ")</f>
        <v>с ЕГАИС, РАСШИРЕННЫЙ</v>
      </c>
      <c r="C331" s="4" t="str">
        <f ca="1">IFERROR(__xludf.DUMMYFUNCTION("""COMPUTED_VALUE"""),"SSY1-RTL15BE-SHMTORG70")</f>
        <v>SSY1-RTL15BE-SHMTORG70</v>
      </c>
      <c r="D331" s="4" t="str">
        <f ca="1">IFERROR(__xludf.DUMMYFUNCTION("""COMPUTED_VALUE"""),"Продление подписки на обновления Mobile SMARTS: Магазин 15 с ЕГАИС, РАСШИРЕННЫЙ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 с ЕГАИС, РАСШИРЕННЫЙ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1" s="4" t="str">
        <f ca="1">IFERROR(__xludf.DUMMYFUNCTION("""COMPUTED_VALUE"""),"Продление подписки на обновления Mobile SMARTS: Магазин 15 с ЕГАИС, РАСШИРЕННЫЙ для «Штрих-М: Торговое предприятие 7.0»,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«Штрих-М: Торговое предприятие 7.0», для работы с маркированным товаром: алкоголь ЕГАИС и товары по штрихкодам  на 1 (один) год</v>
      </c>
      <c r="F331" s="5">
        <f ca="1">IFERROR(__xludf.DUMMYFUNCTION("""COMPUTED_VALUE"""),3490)</f>
        <v>3490</v>
      </c>
    </row>
    <row r="332" spans="1:6" ht="72" customHeight="1" x14ac:dyDescent="0.2">
      <c r="A332" s="4" t="str">
        <f ca="1">IFERROR(__xludf.DUMMYFUNCTION("""COMPUTED_VALUE"""),"«Штрих-М: Торговое предприятие 7.0»")</f>
        <v>«Штрих-М: Торговое предприятие 7.0»</v>
      </c>
      <c r="B332" s="4" t="str">
        <f ca="1">IFERROR(__xludf.DUMMYFUNCTION("""COMPUTED_VALUE"""),"с ЕГАИС (без CheckMark2), МЕГАМАРКЕТ")</f>
        <v>с ЕГАИС (без CheckMark2), МЕГАМАРКЕТ</v>
      </c>
      <c r="C332" s="4" t="str">
        <f ca="1">IFERROR(__xludf.DUMMYFUNCTION("""COMPUTED_VALUE"""),"SSY1-RTL15CEV-SHMTORG70")</f>
        <v>SSY1-RTL15CEV-SHMTORG70</v>
      </c>
      <c r="D332" s="4" t="str">
        <f ca="1">IFERROR(__xludf.DUMMYFUNCTION("""COMPUTED_VALUE"""),"Продление подписки на обновления 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обмен"&amp;"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QR-код"&amp;"ов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2" s="4" t="str">
        <f ca="1">IFERROR(__xludf.DUMMYFUNCTION("""COMPUTED_VALUE"""),"Продление подписки на обновления 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«Штрих-М: Торговое предприятие 7.0», для работы с маркированным товаром: алкоголь ЕГАИС и товары по штрихкодам  на 1 (один) год</v>
      </c>
      <c r="F332" s="5">
        <f ca="1">IFERROR(__xludf.DUMMYFUNCTION("""COMPUTED_VALUE"""),4770)</f>
        <v>4770</v>
      </c>
    </row>
    <row r="333" spans="1:6" ht="72" customHeight="1" x14ac:dyDescent="0.2">
      <c r="A333" s="4" t="str">
        <f ca="1">IFERROR(__xludf.DUMMYFUNCTION("""COMPUTED_VALUE"""),"«Штрих-М: Торговое предприятие 7.0»")</f>
        <v>«Штрих-М: Торговое предприятие 7.0»</v>
      </c>
      <c r="B333" s="4" t="str">
        <f ca="1">IFERROR(__xludf.DUMMYFUNCTION("""COMPUTED_VALUE"""),"с МОТП, БАЗОВЫЙ")</f>
        <v>с МОТП, БАЗОВЫЙ</v>
      </c>
      <c r="C333" s="4" t="str">
        <f ca="1">IFERROR(__xludf.DUMMYFUNCTION("""COMPUTED_VALUE"""),"SSY1-RTL15AT-SHMTORG70")</f>
        <v>SSY1-RTL15AT-SHMTORG70</v>
      </c>
      <c r="D333" s="4" t="str">
        <f ca="1">IFERROR(__xludf.DUMMYFUNCTION("""COMPUTED_VALUE"""),"Продление подписки на обновления Mobile SMARTS: Магазин 15 с МОТП, БАЗОВЫЙ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нет онлайна "&amp;"/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 с МОТП, БАЗОВЫЙ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3" s="4" t="str">
        <f ca="1">IFERROR(__xludf.DUMMYFUNCTION("""COMPUTED_VALUE"""),"Продление подписки на обновления Mobile SMARTS: Магазин 15 с МОТП, БАЗОВЫЙ для «Штрих-М: Торговое предприятие 7.0»,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«Штрих-М: Торговое предприятие 7.0», для работы с маркированным товаром: ТАБАК и товары по штрихкодам  на 1 (один) год</v>
      </c>
      <c r="F333" s="5">
        <f ca="1">IFERROR(__xludf.DUMMYFUNCTION("""COMPUTED_VALUE"""),2230)</f>
        <v>2230</v>
      </c>
    </row>
    <row r="334" spans="1:6" ht="72" customHeight="1" x14ac:dyDescent="0.2">
      <c r="A334" s="4" t="str">
        <f ca="1">IFERROR(__xludf.DUMMYFUNCTION("""COMPUTED_VALUE"""),"«Штрих-М: Торговое предприятие 7.0»")</f>
        <v>«Штрих-М: Торговое предприятие 7.0»</v>
      </c>
      <c r="B334" s="4" t="str">
        <f ca="1">IFERROR(__xludf.DUMMYFUNCTION("""COMPUTED_VALUE"""),"с МОТП, РАСШИРЕННЫЙ")</f>
        <v>с МОТП, РАСШИРЕННЫЙ</v>
      </c>
      <c r="C334" s="4" t="str">
        <f ca="1">IFERROR(__xludf.DUMMYFUNCTION("""COMPUTED_VALUE"""),"SSY1-RTL15BT-SHMTORG70")</f>
        <v>SSY1-RTL15BT-SHMTORG70</v>
      </c>
      <c r="D334" s="4" t="str">
        <f ca="1">IFERROR(__xludf.DUMMYFUNCTION("""COMPUTED_VALUE"""),"Продление подписки на обновления Mobile SMARTS: Магазин 15 с МОТП, РАСШИРЕННЫЙ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ОНЛ"&amp;"АЙН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провер"&amp;"ка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чер"&amp;"ез Интернет на 1 (один) год")</f>
        <v>Продление подписки на обновления Mobile SMARTS: Магазин 15 с МОТП, РАСШИРЕННЫЙ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4" s="4" t="str">
        <f ca="1">IFERROR(__xludf.DUMMYFUNCTION("""COMPUTED_VALUE"""),"Продление подписки на обновления Mobile SMARTS: Магазин 15 с МОТП, РАСШИРЕННЫЙ для «Штрих-М: Торговое предприятие 7.0»,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«Штрих-М: Торговое предприятие 7.0», для работы с маркированным товаром: ТАБАК и товары по штрихкодам  на 1 (один) год</v>
      </c>
      <c r="F334" s="5">
        <f ca="1">IFERROR(__xludf.DUMMYFUNCTION("""COMPUTED_VALUE"""),3490)</f>
        <v>3490</v>
      </c>
    </row>
    <row r="335" spans="1:6" ht="72" customHeight="1" x14ac:dyDescent="0.2">
      <c r="A335" s="4" t="str">
        <f ca="1">IFERROR(__xludf.DUMMYFUNCTION("""COMPUTED_VALUE"""),"«Штрих-М: Торговое предприятие 7.0»")</f>
        <v>«Штрих-М: Торговое предприятие 7.0»</v>
      </c>
      <c r="B335" s="4" t="str">
        <f ca="1">IFERROR(__xludf.DUMMYFUNCTION("""COMPUTED_VALUE"""),"с МОТП, МЕГАМАРКЕТ")</f>
        <v>с МОТП, МЕГАМАРКЕТ</v>
      </c>
      <c r="C335" s="4" t="str">
        <f ca="1">IFERROR(__xludf.DUMMYFUNCTION("""COMPUTED_VALUE"""),"SSY1-RTL15CT-SHMTORG70")</f>
        <v>SSY1-RTL15CT-SHMTORG70</v>
      </c>
      <c r="D335" s="4" t="str">
        <f ca="1">IFERROR(__xludf.DUMMYFUNCTION("""COMPUTED_VALUE"""),"Продление подписки на обновления Mobile SMARTS: Магазин 15 с МОТП, МЕГАМАРКЕТ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Продление подписки на обновления Mobile SMARTS: Магазин 15 с МОТП, МЕГАМАРКЕТ для «Штрих-М: Торговое предприятие 7.0»,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5" s="4" t="str">
        <f ca="1">IFERROR(__xludf.DUMMYFUNCTION("""COMPUTED_VALUE"""),"Продление подписки на обновления Mobile SMARTS: Магазин 15 с МОТП, МЕГАМАРКЕТ для «Штрих-М: Торговое предприятие 7.0»,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«Штрих-М: Торговое предприятие 7.0», для работы с маркированным товаром: ТАБАК и товары по штрихкодам  на 1 (один) год</v>
      </c>
      <c r="F335" s="5">
        <f ca="1">IFERROR(__xludf.DUMMYFUNCTION("""COMPUTED_VALUE"""),4770)</f>
        <v>4770</v>
      </c>
    </row>
    <row r="336" spans="1:6" ht="72" customHeight="1" x14ac:dyDescent="0.2">
      <c r="A336" s="4" t="str">
        <f ca="1">IFERROR(__xludf.DUMMYFUNCTION("""COMPUTED_VALUE"""),"«Штрих-М: Торговое предприятие 7.0»")</f>
        <v>«Штрих-М: Торговое предприятие 7.0»</v>
      </c>
      <c r="B336" s="4" t="str">
        <f ca="1">IFERROR(__xludf.DUMMYFUNCTION("""COMPUTED_VALUE"""),"с ЕГАИС и МОТП, БАЗОВЫЙ")</f>
        <v>с ЕГАИС и МОТП, БАЗОВЫЙ</v>
      </c>
      <c r="C336" s="4" t="str">
        <f ca="1">IFERROR(__xludf.DUMMYFUNCTION("""COMPUTED_VALUE"""),"SSY1-RTL15AET-SHMTORG70")</f>
        <v>SSY1-RTL15AET-SHMTORG70</v>
      </c>
      <c r="D336" s="4" t="str">
        <f ca="1">IFERROR(__xludf.DUMMYFUNCTION("""COMPUTED_VALUE"""),"Продление подписки на обновления 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Интер"&amp;"нет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отг"&amp;"рузка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"&amp;"изменение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6" s="4" t="str">
        <f ca="1">IFERROR(__xludf.DUMMYFUNCTION("""COMPUTED_VALUE"""),"Продление подписки на обновления 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«Штрих-М: Торговое предприятие 7.0», для работы с маркированным товаром: АЛКОГОЛЬ, ТАБАК и товары по штрихкодам  на 1 (один) год</v>
      </c>
      <c r="F336" s="5">
        <f ca="1">IFERROR(__xludf.DUMMYFUNCTION("""COMPUTED_VALUE"""),2430)</f>
        <v>2430</v>
      </c>
    </row>
    <row r="337" spans="1:6" ht="72" customHeight="1" x14ac:dyDescent="0.2">
      <c r="A337" s="4" t="str">
        <f ca="1">IFERROR(__xludf.DUMMYFUNCTION("""COMPUTED_VALUE"""),"«Штрих-М: Торговое предприятие 7.0»")</f>
        <v>«Штрих-М: Торговое предприятие 7.0»</v>
      </c>
      <c r="B337" s="4" t="str">
        <f ca="1">IFERROR(__xludf.DUMMYFUNCTION("""COMPUTED_VALUE"""),"с ЕГАИС и МОТП, РАСШИРЕННЫЙ")</f>
        <v>с ЕГАИС и МОТП, РАСШИРЕННЫЙ</v>
      </c>
      <c r="C337" s="4" t="str">
        <f ca="1">IFERROR(__xludf.DUMMYFUNCTION("""COMPUTED_VALUE"""),"SSY1-RTL15BET-SHMTORG70")</f>
        <v>SSY1-RTL15BET-SHMTORG70</v>
      </c>
      <c r="D337" s="4" t="str">
        <f ca="1">IFERROR(__xludf.DUMMYFUNCTION("""COMPUTED_VALUE"""),"Продление подписки на обновления 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И"&amp;"нтернет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т.ч."&amp;"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экран"&amp;"е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7" s="4" t="str">
        <f ca="1">IFERROR(__xludf.DUMMYFUNCTION("""COMPUTED_VALUE"""),"Продление подписки на обновления 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«Штрих-М: Торговое предприятие 7.0», для работы с маркированным товаром: АЛКОГОЛЬ, ТАБАК и товары по штрихкодам  на 1 (один) год</v>
      </c>
      <c r="F337" s="5">
        <f ca="1">IFERROR(__xludf.DUMMYFUNCTION("""COMPUTED_VALUE"""),3710)</f>
        <v>3710</v>
      </c>
    </row>
    <row r="338" spans="1:6" ht="72" customHeight="1" x14ac:dyDescent="0.2">
      <c r="A338" s="4" t="str">
        <f ca="1">IFERROR(__xludf.DUMMYFUNCTION("""COMPUTED_VALUE"""),"«Штрих-М: Торговое предприятие 7.0»")</f>
        <v>«Штрих-М: Торговое предприятие 7.0»</v>
      </c>
      <c r="B338" s="4" t="str">
        <f ca="1">IFERROR(__xludf.DUMMYFUNCTION("""COMPUTED_VALUE"""),"с ЕГАИС и МОТП, МЕГАМАРКЕТ")</f>
        <v>с ЕГАИС и МОТП, МЕГАМАРКЕТ</v>
      </c>
      <c r="C338" s="4" t="str">
        <f ca="1">IFERROR(__xludf.DUMMYFUNCTION("""COMPUTED_VALUE"""),"SSY1-RTL15CET-SHMTORG70")</f>
        <v>SSY1-RTL15CET-SHMTORG70</v>
      </c>
      <c r="D338" s="4" t="str">
        <f ca="1">IFERROR(__xludf.DUMMYFUNCTION("""COMPUTED_VALUE"""),"Продление подписки на обновления 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Ин"&amp;"тернет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"&amp;"отгрузка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остат"&amp;"ках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8" s="4" t="str">
        <f ca="1">IFERROR(__xludf.DUMMYFUNCTION("""COMPUTED_VALUE"""),"Продление подписки на обновления 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«Штрих-М: Торговое предприятие 7.0», для работы с маркированным товаром: АЛКОГОЛЬ, ТАБАК и товары по штрихкодам  на 1 (один) год</v>
      </c>
      <c r="F338" s="5">
        <f ca="1">IFERROR(__xludf.DUMMYFUNCTION("""COMPUTED_VALUE"""),5270)</f>
        <v>5270</v>
      </c>
    </row>
    <row r="339" spans="1:6" ht="72" customHeight="1" x14ac:dyDescent="0.2">
      <c r="A339" s="4" t="str">
        <f ca="1">IFERROR(__xludf.DUMMYFUNCTION("""COMPUTED_VALUE"""),"«Штрих-М: Торговое предприятие 7.0»")</f>
        <v>«Штрих-М: Торговое предприятие 7.0»</v>
      </c>
      <c r="B339" s="4" t="str">
        <f ca="1">IFERROR(__xludf.DUMMYFUNCTION("""COMPUTED_VALUE"""),"ШМОТКИ, БАЗОВЫЙ")</f>
        <v>ШМОТКИ, БАЗОВЫЙ</v>
      </c>
      <c r="C339" s="4" t="str">
        <f ca="1">IFERROR(__xludf.DUMMYFUNCTION("""COMPUTED_VALUE"""),"SSY1-RTL15AK-SHMTORG70")</f>
        <v>SSY1-RTL15AK-SHMTORG70</v>
      </c>
      <c r="D339" s="4" t="str">
        <f ca="1">IFERROR(__xludf.DUMMYFUNCTION("""COMPUTED_VALUE"""),"Продление подписки на обновления 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И"&amp;"нтернет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справочников,"&amp;"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Продление подписки на обновления 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39" s="4" t="str">
        <f ca="1">IFERROR(__xludf.DUMMYFUNCTION("""COMPUTED_VALUE"""),"Продление подписки на обновления 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«Штрих-М: Торговое предприятие 7.0», для работы с маркированным товаром: ОБУВЬ, ОДЕЖДА, ПАРФЮМ, ШИНЫ и товары по штрихкодам  на 1 (один) год</v>
      </c>
      <c r="F339" s="5">
        <f ca="1">IFERROR(__xludf.DUMMYFUNCTION("""COMPUTED_VALUE"""),2430)</f>
        <v>2430</v>
      </c>
    </row>
    <row r="340" spans="1:6" ht="72" customHeight="1" x14ac:dyDescent="0.2">
      <c r="A340" s="4" t="str">
        <f ca="1">IFERROR(__xludf.DUMMYFUNCTION("""COMPUTED_VALUE"""),"«Штрих-М: Торговое предприятие 7.0»")</f>
        <v>«Штрих-М: Торговое предприятие 7.0»</v>
      </c>
      <c r="B340" s="4" t="str">
        <f ca="1">IFERROR(__xludf.DUMMYFUNCTION("""COMPUTED_VALUE"""),"ШМОТКИ, РАСШИРЕННЫЙ")</f>
        <v>ШМОТКИ, РАСШИРЕННЫЙ</v>
      </c>
      <c r="C340" s="4" t="str">
        <f ca="1">IFERROR(__xludf.DUMMYFUNCTION("""COMPUTED_VALUE"""),"SSY1-RTL15BK-SHMTORG70")</f>
        <v>SSY1-RTL15BK-SHMTORG70</v>
      </c>
      <c r="D340" s="4" t="str">
        <f ca="1">IFERROR(__xludf.DUMMYFUNCTION("""COMPUTED_VALUE"""),"Продление подписки на обновления 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чер"&amp;"ез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справочни"&amp;"ков,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"&amp;"обновления и обмен через Интернет на 1 (один) год")</f>
        <v>Продление подписки на обновления 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0" s="4" t="str">
        <f ca="1">IFERROR(__xludf.DUMMYFUNCTION("""COMPUTED_VALUE"""),"Продление подписки на обновления 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«Штрих-М: Торговое предприятие 7.0», для работы с маркированным товаром: ОБУВЬ, ОДЕЖДА, ПАРФЮМ, ШИНЫ и товары по штрихкодам  на 1 (один) год</v>
      </c>
      <c r="F340" s="5">
        <f ca="1">IFERROR(__xludf.DUMMYFUNCTION("""COMPUTED_VALUE"""),3710)</f>
        <v>3710</v>
      </c>
    </row>
    <row r="341" spans="1:6" ht="72" customHeight="1" x14ac:dyDescent="0.2">
      <c r="A341" s="4" t="str">
        <f ca="1">IFERROR(__xludf.DUMMYFUNCTION("""COMPUTED_VALUE"""),"«Штрих-М: Торговое предприятие 7.0»")</f>
        <v>«Штрих-М: Торговое предприятие 7.0»</v>
      </c>
      <c r="B341" s="4" t="str">
        <f ca="1">IFERROR(__xludf.DUMMYFUNCTION("""COMPUTED_VALUE"""),"ШМОТКИ, МЕГАМАРКЕТ")</f>
        <v>ШМОТКИ, МЕГАМАРКЕТ</v>
      </c>
      <c r="C341" s="4" t="str">
        <f ca="1">IFERROR(__xludf.DUMMYFUNCTION("""COMPUTED_VALUE"""),"SSY1-RTL15CK-SHMTORG70")</f>
        <v>SSY1-RTL15CK-SHMTORG70</v>
      </c>
      <c r="D341" s="4" t="str">
        <f ca="1">IFERROR(__xludf.DUMMYFUNCTION("""COMPUTED_VALUE"""),"Продление подписки на обновления 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чере"&amp;"з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справочник"&amp;"ов,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устр"&amp;"ойство, подписка на обновления и обмен через Интернет на 1 (один) год")</f>
        <v>Продление подписки на обновления 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1" s="4" t="str">
        <f ca="1">IFERROR(__xludf.DUMMYFUNCTION("""COMPUTED_VALUE"""),"Продление подписки на обновления 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«Штрих-М: Торговое предприятие 7.0», для работы с маркированным товаром: ОБУВЬ, ОДЕЖДА, ПАРФЮМ, ШИНЫ и товары по штрихкодам  на 1 (один) год</v>
      </c>
      <c r="F341" s="5">
        <f ca="1">IFERROR(__xludf.DUMMYFUNCTION("""COMPUTED_VALUE"""),5270)</f>
        <v>5270</v>
      </c>
    </row>
    <row r="342" spans="1:6" ht="72" customHeight="1" x14ac:dyDescent="0.2">
      <c r="A342" s="4" t="str">
        <f ca="1">IFERROR(__xludf.DUMMYFUNCTION("""COMPUTED_VALUE"""),"«Штрих-М: Торговое предприятие 7.0»")</f>
        <v>«Штрих-М: Торговое предприятие 7.0»</v>
      </c>
      <c r="B342" s="4" t="str">
        <f ca="1">IFERROR(__xludf.DUMMYFUNCTION("""COMPUTED_VALUE"""),"ПРОДУКТОВЫЙ, БАЗОВЫЙ")</f>
        <v>ПРОДУКТОВЫЙ, БАЗОВЫЙ</v>
      </c>
      <c r="C342" s="4" t="str">
        <f ca="1">IFERROR(__xludf.DUMMYFUNCTION("""COMPUTED_VALUE"""),"SSY1-RTL15AG-SHMTORG70")</f>
        <v>SSY1-RTL15AG-SHMTORG70</v>
      </c>
      <c r="D342" s="4" t="str">
        <f ca="1">IFERROR(__xludf.DUMMYFUNCTION("""COMPUTED_VALUE"""),"Продление подписки на обновления 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"&amp;"проводной,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принтер),"&amp;"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складах"&amp;",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2" s="4" t="str">
        <f ca="1">IFERROR(__xludf.DUMMYFUNCTION("""COMPUTED_VALUE"""),"Продление подписки на обновления 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 на 1 (один"&amp;") год")</f>
        <v>Продление подписки на обновления Mobile SMARTS: Магазин 15 ПРОДУКТОВЫЙ, БАЗОВЫЙ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 на 1 (один) год</v>
      </c>
      <c r="F342" s="5">
        <f ca="1">IFERROR(__xludf.DUMMYFUNCTION("""COMPUTED_VALUE"""),2910)</f>
        <v>2910</v>
      </c>
    </row>
    <row r="343" spans="1:6" ht="72" customHeight="1" x14ac:dyDescent="0.2">
      <c r="A343" s="4" t="str">
        <f ca="1">IFERROR(__xludf.DUMMYFUNCTION("""COMPUTED_VALUE"""),"«Штрих-М: Торговое предприятие 7.0»")</f>
        <v>«Штрих-М: Торговое предприятие 7.0»</v>
      </c>
      <c r="B343" s="4" t="str">
        <f ca="1">IFERROR(__xludf.DUMMYFUNCTION("""COMPUTED_VALUE"""),"ПРОДУКТОВЫЙ, РАСШИРЕННЫЙ")</f>
        <v>ПРОДУКТОВЫЙ, РАСШИРЕННЫЙ</v>
      </c>
      <c r="C343" s="4" t="str">
        <f ca="1">IFERROR(__xludf.DUMMYFUNCTION("""COMPUTED_VALUE"""),"SSY1-RTL15BG-SHMTORG70")</f>
        <v>SSY1-RTL15BG-SHMTORG70</v>
      </c>
      <c r="D343" s="4" t="str">
        <f ca="1">IFERROR(__xludf.DUMMYFUNCTION("""COMPUTED_VALUE"""),"Продление подписки на обновления 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вы"&amp;"бор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принт"&amp;"ер),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скл"&amp;"адах,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3" s="4" t="str">
        <f ca="1">IFERROR(__xludf.DUMMYFUNCTION("""COMPUTED_VALUE"""),"Продление подписки на обновления 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 на 1 ("&amp;"один) год")</f>
        <v>Продление подписки на обновления Mobile SMARTS: Магазин 15 ПРОДУКТОВЫЙ, РАСШИРЕННЫЙ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 на 1 (один) год</v>
      </c>
      <c r="F343" s="5">
        <f ca="1">IFERROR(__xludf.DUMMYFUNCTION("""COMPUTED_VALUE"""),4190)</f>
        <v>4190</v>
      </c>
    </row>
    <row r="344" spans="1:6" ht="72" customHeight="1" x14ac:dyDescent="0.2">
      <c r="A344" s="4" t="str">
        <f ca="1">IFERROR(__xludf.DUMMYFUNCTION("""COMPUTED_VALUE"""),"«Штрих-М: Торговое предприятие 7.0»")</f>
        <v>«Штрих-М: Торговое предприятие 7.0»</v>
      </c>
      <c r="B344" s="4" t="str">
        <f ca="1">IFERROR(__xludf.DUMMYFUNCTION("""COMPUTED_VALUE"""),"ПРОДУКТОВЫЙ, МЕГАМАРКЕТ")</f>
        <v>ПРОДУКТОВЫЙ, МЕГАМАРКЕТ</v>
      </c>
      <c r="C344" s="4" t="str">
        <f ca="1">IFERROR(__xludf.DUMMYFUNCTION("""COMPUTED_VALUE"""),"SSY1-RTL15CG-SHMTORG70")</f>
        <v>SSY1-RTL15CG-SHMTORG70</v>
      </c>
      <c r="D344" s="4" t="str">
        <f ca="1">IFERROR(__xludf.DUMMYFUNCTION("""COMPUTED_VALUE"""),"Продление подписки на обновления 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инфо"&amp;"рмация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4" s="4" t="str">
        <f ca="1">IFERROR(__xludf.DUMMYFUNCTION("""COMPUTED_VALUE"""),"Продление подписки на обновления 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 на 1 (о"&amp;"дин) год")</f>
        <v>Продление подписки на обновления Mobile SMARTS: Магазин 15 ПРОДУКТОВЫЙ, МЕГАМАРКЕТ для «Штрих-М: Торговое предприятие 7.0», для работы с маркированным товаром: АЛКОГОЛЬ, ПИВО, ТАБАК, МОЛОКО, ВОДА, ОДЕЖДА, ОБУВЬ, ДУХИ, ШИНЫ и товаром по штрихкодам  на 1 (один) год</v>
      </c>
      <c r="F344" s="5">
        <f ca="1">IFERROR(__xludf.DUMMYFUNCTION("""COMPUTED_VALUE"""),5650)</f>
        <v>5650</v>
      </c>
    </row>
    <row r="345" spans="1:6" ht="72" customHeight="1" x14ac:dyDescent="0.2">
      <c r="A345" s="4" t="str">
        <f ca="1">IFERROR(__xludf.DUMMYFUNCTION("""COMPUTED_VALUE"""),"«Штрих-М: Розничная торговля 5.2»")</f>
        <v>«Штрих-М: Розничная торговля 5.2»</v>
      </c>
      <c r="B345" s="4" t="str">
        <f ca="1">IFERROR(__xludf.DUMMYFUNCTION("""COMPUTED_VALUE"""),"МИНИМУМ")</f>
        <v>МИНИМУМ</v>
      </c>
      <c r="C345" s="4" t="str">
        <f ca="1">IFERROR(__xludf.DUMMYFUNCTION("""COMPUTED_VALUE"""),"SSY1-RTL15M-SHMRTL52")</f>
        <v>SSY1-RTL15M-SHMRTL52</v>
      </c>
      <c r="D345" s="4" t="str">
        <f ca="1">IFERROR(__xludf.DUMMYFUNCTION("""COMPUTED_VALUE"""),"Продление подписки на обновления Mobile SMARTS: Магазин 15, МИНИМУМ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сбор штрихкодов, "&amp;"инвентаризация,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"&amp;"и обмен через Интернет на 1 (один) год")</f>
        <v>Продление подписки на обновления Mobile SMARTS: Магазин 15, МИНИМУМ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45" s="4" t="str">
        <f ca="1">IFERROR(__xludf.DUMMYFUNCTION("""COMPUTED_VALUE"""),"Продление подписки на обновления Mobile SMARTS: Магазин 15, МИНИМУМ для «Штрих-М: Розничная торговля 5.2», для работы с товаром по штрихкодам  на 1 (один) год")</f>
        <v>Продление подписки на обновления Mobile SMARTS: Магазин 15, МИНИМУМ для «Штрих-М: Розничная торговля 5.2», для работы с товаром по штрихкодам  на 1 (один) год</v>
      </c>
      <c r="F345" s="5">
        <f ca="1">IFERROR(__xludf.DUMMYFUNCTION("""COMPUTED_VALUE"""),690)</f>
        <v>690</v>
      </c>
    </row>
    <row r="346" spans="1:6" ht="72" customHeight="1" x14ac:dyDescent="0.2">
      <c r="A346" s="4" t="str">
        <f ca="1">IFERROR(__xludf.DUMMYFUNCTION("""COMPUTED_VALUE"""),"«Штрих-М: Розничная торговля 5.2»")</f>
        <v>«Штрих-М: Розничная торговля 5.2»</v>
      </c>
      <c r="B346" s="4" t="str">
        <f ca="1">IFERROR(__xludf.DUMMYFUNCTION("""COMPUTED_VALUE"""),"БАЗОВЫЙ")</f>
        <v>БАЗОВЫЙ</v>
      </c>
      <c r="C346" s="4" t="str">
        <f ca="1">IFERROR(__xludf.DUMMYFUNCTION("""COMPUTED_VALUE"""),"SSY1-RTL15A-SHMRTL52")</f>
        <v>SSY1-RTL15A-SHMRTL52</v>
      </c>
      <c r="D346" s="4" t="str">
        <f ca="1">IFERROR(__xludf.DUMMYFUNCTION("""COMPUTED_VALUE"""),"Продление подписки на обновления Mobile SMARTS: Магазин 15, БАЗОВЫЙ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поступление, инве"&amp;"нтаризация,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«Штрих-М: Розничная торговля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6" s="4" t="str">
        <f ca="1">IFERROR(__xludf.DUMMYFUNCTION("""COMPUTED_VALUE"""),"Продление подписки на обновления Mobile SMARTS: Магазин 15, БАЗОВЫЙ для «Штрих-М: Розничная торговля 5.2», для работы с товаром по штрихкодам  на 1 (один) год")</f>
        <v>Продление подписки на обновления Mobile SMARTS: Магазин 15, БАЗОВЫЙ для «Штрих-М: Розничная торговля 5.2», для работы с товаром по штрихкодам  на 1 (один) год</v>
      </c>
      <c r="F346" s="5">
        <f ca="1">IFERROR(__xludf.DUMMYFUNCTION("""COMPUTED_VALUE"""),1730)</f>
        <v>1730</v>
      </c>
    </row>
    <row r="347" spans="1:6" ht="72" customHeight="1" x14ac:dyDescent="0.2">
      <c r="A347" s="4" t="str">
        <f ca="1">IFERROR(__xludf.DUMMYFUNCTION("""COMPUTED_VALUE"""),"«Штрих-М: Розничная торговля 5.2»")</f>
        <v>«Штрих-М: Розничная торговля 5.2»</v>
      </c>
      <c r="B347" s="4" t="str">
        <f ca="1">IFERROR(__xludf.DUMMYFUNCTION("""COMPUTED_VALUE"""),"РАСШИРЕННЫЙ")</f>
        <v>РАСШИРЕННЫЙ</v>
      </c>
      <c r="C347" s="4" t="str">
        <f ca="1">IFERROR(__xludf.DUMMYFUNCTION("""COMPUTED_VALUE"""),"SSY1-RTL15B-SHMRTL52")</f>
        <v>SSY1-RTL15B-SHMRTL52</v>
      </c>
      <c r="D347" s="4" t="str">
        <f ca="1">IFERROR(__xludf.DUMMYFUNCTION("""COMPUTED_VALUE"""),"Продление подписки на обновления Mobile SMARTS: Магазин 15, РАСШИРЕННЫЙ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"&amp;"инвентаризация,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ц"&amp;"енах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7" s="4" t="str">
        <f ca="1">IFERROR(__xludf.DUMMYFUNCTION("""COMPUTED_VALUE"""),"Продление подписки на обновления Mobile SMARTS: Магазин 15, РАСШИРЕННЫЙ для «Штрих-М: Розничная торговля 5.2», для работы с товаром по штрихкодам  на 1 (один) год")</f>
        <v>Продление подписки на обновления Mobile SMARTS: Магазин 15, РАСШИРЕННЫЙ для «Штрих-М: Розничная торговля 5.2», для работы с товаром по штрихкодам  на 1 (один) год</v>
      </c>
      <c r="F347" s="5">
        <f ca="1">IFERROR(__xludf.DUMMYFUNCTION("""COMPUTED_VALUE"""),3010)</f>
        <v>3010</v>
      </c>
    </row>
    <row r="348" spans="1:6" ht="72" customHeight="1" x14ac:dyDescent="0.2">
      <c r="A348" s="4" t="str">
        <f ca="1">IFERROR(__xludf.DUMMYFUNCTION("""COMPUTED_VALUE"""),"«Штрих-М: Розничная торговля 5.2»")</f>
        <v>«Штрих-М: Розничная торговля 5.2»</v>
      </c>
      <c r="B348" s="4" t="str">
        <f ca="1">IFERROR(__xludf.DUMMYFUNCTION("""COMPUTED_VALUE"""),"МЕГАМАРКЕТ")</f>
        <v>МЕГАМАРКЕТ</v>
      </c>
      <c r="C348" s="4" t="str">
        <f ca="1">IFERROR(__xludf.DUMMYFUNCTION("""COMPUTED_VALUE"""),"SSY1-RTL15C-SHMRTL52")</f>
        <v>SSY1-RTL15C-SHMRTL52</v>
      </c>
      <c r="D348" s="4" t="str">
        <f ca="1">IFERROR(__xludf.DUMMYFUNCTION("""COMPUTED_VALUE"""),"Продление подписки на обновления Mobile SMARTS: Магазин 15, МЕГАМАРКЕТ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и"&amp;"нвентаризация,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контра"&amp;"гентах,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«Штрих-М: Розничная торговля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48" s="4" t="str">
        <f ca="1">IFERROR(__xludf.DUMMYFUNCTION("""COMPUTED_VALUE"""),"Продление подписки на обновления Mobile SMARTS: Магазин 15, МЕГАМАРКЕТ для «Штрих-М: Розничная торговля 5.2», для работы с товаром по штрихкодам  на 1 (один) год")</f>
        <v>Продление подписки на обновления Mobile SMARTS: Магазин 15, МЕГАМАРКЕТ для «Штрих-М: Розничная торговля 5.2», для работы с товаром по штрихкодам  на 1 (один) год</v>
      </c>
      <c r="F348" s="5">
        <f ca="1">IFERROR(__xludf.DUMMYFUNCTION("""COMPUTED_VALUE"""),4310)</f>
        <v>4310</v>
      </c>
    </row>
    <row r="349" spans="1:6" ht="72" customHeight="1" x14ac:dyDescent="0.2">
      <c r="A349" s="4" t="str">
        <f ca="1">IFERROR(__xludf.DUMMYFUNCTION("""COMPUTED_VALUE"""),"«Штрих-М: Розничная торговля 5.2»")</f>
        <v>«Штрих-М: Розничная торговля 5.2»</v>
      </c>
      <c r="B349" s="4" t="str">
        <f ca="1">IFERROR(__xludf.DUMMYFUNCTION("""COMPUTED_VALUE"""),"с ЕГАИС, БАЗОВЫЙ")</f>
        <v>с ЕГАИС, БАЗОВЫЙ</v>
      </c>
      <c r="C349" s="4" t="str">
        <f ca="1">IFERROR(__xludf.DUMMYFUNCTION("""COMPUTED_VALUE"""),"SSY1-RTL15AE-SHMRTL52")</f>
        <v>SSY1-RTL15AE-SHMRTL52</v>
      </c>
      <c r="D349" s="4" t="str">
        <f ca="1">IFERROR(__xludf.DUMMYFUNCTION("""COMPUTED_VALUE"""),"Продление подписки на обновления Mobile SMARTS: Магазин 15 с ЕГАИС, БАЗОВЫЙ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нет "&amp;"онлайна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печа"&amp;"ть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Инте"&amp;"рнет на 1 (один) год")</f>
        <v>Продление подписки на обновления Mobile SMARTS: Магазин 15 с ЕГАИС, БАЗОВЫЙ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49" s="4" t="str">
        <f ca="1">IFERROR(__xludf.DUMMYFUNCTION("""COMPUTED_VALUE"""),"Продление подписки на обновления Mobile SMARTS: Магазин 15 с ЕГАИС, БАЗОВЫЙ для «Штрих-М: Розничная торговля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«Штрих-М: Розничная торговля 5.2», для работы с маркированным товаром: алкоголь ЕГАИС и товары по штрихкодам  на 1 (один) год</v>
      </c>
      <c r="F349" s="5">
        <f ca="1">IFERROR(__xludf.DUMMYFUNCTION("""COMPUTED_VALUE"""),2200)</f>
        <v>2200</v>
      </c>
    </row>
    <row r="350" spans="1:6" ht="72" customHeight="1" x14ac:dyDescent="0.2">
      <c r="A350" s="4" t="str">
        <f ca="1">IFERROR(__xludf.DUMMYFUNCTION("""COMPUTED_VALUE"""),"«Штрих-М: Розничная торговля 5.2»")</f>
        <v>«Штрих-М: Розничная торговля 5.2»</v>
      </c>
      <c r="B350" s="4" t="str">
        <f ca="1">IFERROR(__xludf.DUMMYFUNCTION("""COMPUTED_VALUE"""),"с ЕГАИС, РАСШИРЕННЫЙ")</f>
        <v>с ЕГАИС, РАСШИРЕННЫЙ</v>
      </c>
      <c r="C350" s="4" t="str">
        <f ca="1">IFERROR(__xludf.DUMMYFUNCTION("""COMPUTED_VALUE"""),"SSY1-RTL15BE-SHMRTL52")</f>
        <v>SSY1-RTL15BE-SHMRTL52</v>
      </c>
      <c r="D350" s="4" t="str">
        <f ca="1">IFERROR(__xludf.DUMMYFUNCTION("""COMPUTED_VALUE"""),"Продление подписки на обновления Mobile SMARTS: Магазин 15 с ЕГАИС, РАСШИРЕННЫЙ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"&amp;"есть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"&amp;"печать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ч"&amp;"ерез Интернет на 1 (один) год")</f>
        <v>Продление подписки на обновления Mobile SMARTS: Магазин 15 с ЕГАИС, РАСШИРЕННЫЙ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0" s="4" t="str">
        <f ca="1">IFERROR(__xludf.DUMMYFUNCTION("""COMPUTED_VALUE"""),"Продление подписки на обновления Mobile SMARTS: Магазин 15 с ЕГАИС, РАСШИРЕННЫЙ для «Штрих-М: Розничная торговля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«Штрих-М: Розничная торговля 5.2», для работы с маркированным товаром: алкоголь ЕГАИС и товары по штрихкодам  на 1 (один) год</v>
      </c>
      <c r="F350" s="5">
        <f ca="1">IFERROR(__xludf.DUMMYFUNCTION("""COMPUTED_VALUE"""),3490)</f>
        <v>3490</v>
      </c>
    </row>
    <row r="351" spans="1:6" ht="72" customHeight="1" x14ac:dyDescent="0.2">
      <c r="A351" s="4" t="str">
        <f ca="1">IFERROR(__xludf.DUMMYFUNCTION("""COMPUTED_VALUE"""),"«Штрих-М: Розничная торговля 5.2»")</f>
        <v>«Штрих-М: Розничная торговля 5.2»</v>
      </c>
      <c r="B351" s="4" t="str">
        <f ca="1">IFERROR(__xludf.DUMMYFUNCTION("""COMPUTED_VALUE"""),"с ЕГАИС (без CheckMark2), МЕГАМАРКЕТ")</f>
        <v>с ЕГАИС (без CheckMark2), МЕГАМАРКЕТ</v>
      </c>
      <c r="C351" s="4" t="str">
        <f ca="1">IFERROR(__xludf.DUMMYFUNCTION("""COMPUTED_VALUE"""),"SSY1-RTL15CEV-SHMRTL52")</f>
        <v>SSY1-RTL15CEV-SHMRTL52</v>
      </c>
      <c r="D351" s="4" t="str">
        <f ca="1">IFERROR(__xludf.DUMMYFUNCTION("""COMPUTED_VALUE"""),"Продление подписки на обновления 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ч"&amp;"ерез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QR-кодов"&amp;"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устройст"&amp;"во,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1" s="4" t="str">
        <f ca="1">IFERROR(__xludf.DUMMYFUNCTION("""COMPUTED_VALUE"""),"Продление подписки на обновления 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«Штрих-М: Розничная торговля 5.2», для работы с маркированным товаром: алкоголь ЕГАИС и товары по штрихкодам  на 1 (один) год</v>
      </c>
      <c r="F351" s="5">
        <f ca="1">IFERROR(__xludf.DUMMYFUNCTION("""COMPUTED_VALUE"""),4770)</f>
        <v>4770</v>
      </c>
    </row>
    <row r="352" spans="1:6" ht="72" customHeight="1" x14ac:dyDescent="0.2">
      <c r="A352" s="4" t="str">
        <f ca="1">IFERROR(__xludf.DUMMYFUNCTION("""COMPUTED_VALUE"""),"«Штрих-М: Розничная торговля 5.2»")</f>
        <v>«Штрих-М: Розничная торговля 5.2»</v>
      </c>
      <c r="B352" s="4" t="str">
        <f ca="1">IFERROR(__xludf.DUMMYFUNCTION("""COMPUTED_VALUE"""),"с МОТП, БАЗОВЫЙ")</f>
        <v>с МОТП, БАЗОВЫЙ</v>
      </c>
      <c r="C352" s="4" t="str">
        <f ca="1">IFERROR(__xludf.DUMMYFUNCTION("""COMPUTED_VALUE"""),"SSY1-RTL15AT-SHMRTL52")</f>
        <v>SSY1-RTL15AT-SHMRTL52</v>
      </c>
      <c r="D352" s="4" t="str">
        <f ca="1">IFERROR(__xludf.DUMMYFUNCTION("""COMPUTED_VALUE"""),"Продление подписки на обновления Mobile SMARTS: Магазин 15 с МОТП, БАЗОВЫЙ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нет онлайна / "&amp;"доступные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QR-"&amp;"кодов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Продление подписки на обновления Mobile SMARTS: Магазин 15 с МОТП, БАЗОВЫЙ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2" s="4" t="str">
        <f ca="1">IFERROR(__xludf.DUMMYFUNCTION("""COMPUTED_VALUE"""),"Продление подписки на обновления Mobile SMARTS: Магазин 15 с МОТП, БАЗОВЫЙ для «Штрих-М: Розничная торговля 5.2»,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«Штрих-М: Розничная торговля 5.2», для работы с маркированным товаром: ТАБАК и товары по штрихкодам  на 1 (один) год</v>
      </c>
      <c r="F352" s="5">
        <f ca="1">IFERROR(__xludf.DUMMYFUNCTION("""COMPUTED_VALUE"""),2230)</f>
        <v>2230</v>
      </c>
    </row>
    <row r="353" spans="1:6" ht="72" customHeight="1" x14ac:dyDescent="0.2">
      <c r="A353" s="4" t="str">
        <f ca="1">IFERROR(__xludf.DUMMYFUNCTION("""COMPUTED_VALUE"""),"«Штрих-М: Розничная торговля 5.2»")</f>
        <v>«Штрих-М: Розничная торговля 5.2»</v>
      </c>
      <c r="B353" s="4" t="str">
        <f ca="1">IFERROR(__xludf.DUMMYFUNCTION("""COMPUTED_VALUE"""),"с МОТП, РАСШИРЕННЫЙ")</f>
        <v>с МОТП, РАСШИРЕННЫЙ</v>
      </c>
      <c r="C353" s="4" t="str">
        <f ca="1">IFERROR(__xludf.DUMMYFUNCTION("""COMPUTED_VALUE"""),"SSY1-RTL15BT-SHMRTL52")</f>
        <v>SSY1-RTL15BT-SHMRTL52</v>
      </c>
      <c r="D353" s="4" t="str">
        <f ca="1">IFERROR(__xludf.DUMMYFUNCTION("""COMPUTED_VALUE"""),"Продление подписки на обновления Mobile SMARTS: Магазин 15 с МОТП, РАСШИРЕННЫЙ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Продление подписки на обновления Mobile SMARTS: Магазин 15 с МОТП, РАСШИРЕННЫЙ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3" s="4" t="str">
        <f ca="1">IFERROR(__xludf.DUMMYFUNCTION("""COMPUTED_VALUE"""),"Продление подписки на обновления Mobile SMARTS: Магазин 15 с МОТП, РАСШИРЕННЫЙ для «Штрих-М: Розничная торговля 5.2»,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«Штрих-М: Розничная торговля 5.2», для работы с маркированным товаром: ТАБАК и товары по штрихкодам  на 1 (один) год</v>
      </c>
      <c r="F353" s="5">
        <f ca="1">IFERROR(__xludf.DUMMYFUNCTION("""COMPUTED_VALUE"""),3490)</f>
        <v>3490</v>
      </c>
    </row>
    <row r="354" spans="1:6" ht="72" customHeight="1" x14ac:dyDescent="0.2">
      <c r="A354" s="4" t="str">
        <f ca="1">IFERROR(__xludf.DUMMYFUNCTION("""COMPUTED_VALUE"""),"«Штрих-М: Розничная торговля 5.2»")</f>
        <v>«Штрих-М: Розничная торговля 5.2»</v>
      </c>
      <c r="B354" s="4" t="str">
        <f ca="1">IFERROR(__xludf.DUMMYFUNCTION("""COMPUTED_VALUE"""),"с МОТП, МЕГАМАРКЕТ")</f>
        <v>с МОТП, МЕГАМАРКЕТ</v>
      </c>
      <c r="C354" s="4" t="str">
        <f ca="1">IFERROR(__xludf.DUMMYFUNCTION("""COMPUTED_VALUE"""),"SSY1-RTL15CT-SHMRTL52")</f>
        <v>SSY1-RTL15CT-SHMRTL52</v>
      </c>
      <c r="D354" s="4" t="str">
        <f ca="1">IFERROR(__xludf.DUMMYFUNCTION("""COMPUTED_VALUE"""),"Продление подписки на обновления Mobile SMARTS: Магазин 15 с МОТП, МЕГАМАРКЕТ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ОНЛАЙН"&amp;"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"&amp;"QR-кодов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обно"&amp;"вления и обмен через Интернет на 1 (один) год")</f>
        <v>Продление подписки на обновления Mobile SMARTS: Магазин 15 с МОТП, МЕГАМАРКЕТ для «Штрих-М: Розничная торговля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4" s="4" t="str">
        <f ca="1">IFERROR(__xludf.DUMMYFUNCTION("""COMPUTED_VALUE"""),"Продление подписки на обновления Mobile SMARTS: Магазин 15 с МОТП, МЕГАМАРКЕТ для «Штрих-М: Розничная торговля 5.2»,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«Штрих-М: Розничная торговля 5.2», для работы с маркированным товаром: ТАБАК и товары по штрихкодам  на 1 (один) год</v>
      </c>
      <c r="F354" s="5">
        <f ca="1">IFERROR(__xludf.DUMMYFUNCTION("""COMPUTED_VALUE"""),4770)</f>
        <v>4770</v>
      </c>
    </row>
    <row r="355" spans="1:6" ht="72" customHeight="1" x14ac:dyDescent="0.2">
      <c r="A355" s="4" t="str">
        <f ca="1">IFERROR(__xludf.DUMMYFUNCTION("""COMPUTED_VALUE"""),"«Штрих-М: Розничная торговля 5.2»")</f>
        <v>«Штрих-М: Розничная торговля 5.2»</v>
      </c>
      <c r="B355" s="4" t="str">
        <f ca="1">IFERROR(__xludf.DUMMYFUNCTION("""COMPUTED_VALUE"""),"с ЕГАИС и МОТП, БАЗОВЫЙ")</f>
        <v>с ЕГАИС и МОТП, БАЗОВЫЙ</v>
      </c>
      <c r="C355" s="4" t="str">
        <f ca="1">IFERROR(__xludf.DUMMYFUNCTION("""COMPUTED_VALUE"""),"SSY1-RTL15AET-SHMRTL52")</f>
        <v>SSY1-RTL15AET-SHMRTL52</v>
      </c>
      <c r="D355" s="4" t="str">
        <f ca="1">IFERROR(__xludf.DUMMYFUNCTION("""COMPUTED_VALUE"""),"Продление подписки на обновления Mobile SMARTS: Магазин 15 с ЕГАИС и МОТП, БАЗОВЫЙ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Интерне"&amp;"т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отгру"&amp;"зка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из"&amp;"менение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5" s="4" t="str">
        <f ca="1">IFERROR(__xludf.DUMMYFUNCTION("""COMPUTED_VALUE"""),"Продление подписки на обновления Mobile SMARTS: Магазин 15 с ЕГАИС и МОТП, БАЗОВЫЙ для «Штрих-М: Розничная торговля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«Штрих-М: Розничная торговля 5.2», для работы с маркированным товаром: АЛКОГОЛЬ, ТАБАК и товары по штрихкодам  на 1 (один) год</v>
      </c>
      <c r="F355" s="5">
        <f ca="1">IFERROR(__xludf.DUMMYFUNCTION("""COMPUTED_VALUE"""),2430)</f>
        <v>2430</v>
      </c>
    </row>
    <row r="356" spans="1:6" ht="72" customHeight="1" x14ac:dyDescent="0.2">
      <c r="A356" s="4" t="str">
        <f ca="1">IFERROR(__xludf.DUMMYFUNCTION("""COMPUTED_VALUE"""),"«Штрих-М: Розничная торговля 5.2»")</f>
        <v>«Штрих-М: Розничная торговля 5.2»</v>
      </c>
      <c r="B356" s="4" t="str">
        <f ca="1">IFERROR(__xludf.DUMMYFUNCTION("""COMPUTED_VALUE"""),"с ЕГАИС и МОТП, РАСШИРЕННЫЙ")</f>
        <v>с ЕГАИС и МОТП, РАСШИРЕННЫЙ</v>
      </c>
      <c r="C356" s="4" t="str">
        <f ca="1">IFERROR(__xludf.DUMMYFUNCTION("""COMPUTED_VALUE"""),"SSY1-RTL15BET-SHMRTL52")</f>
        <v>SSY1-RTL15BET-SHMRTL52</v>
      </c>
      <c r="D356" s="4" t="str">
        <f ca="1">IFERROR(__xludf.DUMMYFUNCTION("""COMPUTED_VALUE"""),"Продление подписки на обновления 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Инт"&amp;"ернет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о"&amp;"тгрузка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6" s="4" t="str">
        <f ca="1">IFERROR(__xludf.DUMMYFUNCTION("""COMPUTED_VALUE"""),"Продление подписки на обновления 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«Штрих-М: Розничная торговля 5.2», для работы с маркированным товаром: АЛКОГОЛЬ, ТАБАК и товары по штрихкодам  на 1 (один) год</v>
      </c>
      <c r="F356" s="5">
        <f ca="1">IFERROR(__xludf.DUMMYFUNCTION("""COMPUTED_VALUE"""),3710)</f>
        <v>3710</v>
      </c>
    </row>
    <row r="357" spans="1:6" ht="72" customHeight="1" x14ac:dyDescent="0.2">
      <c r="A357" s="4" t="str">
        <f ca="1">IFERROR(__xludf.DUMMYFUNCTION("""COMPUTED_VALUE"""),"«Штрих-М: Розничная торговля 5.2»")</f>
        <v>«Штрих-М: Розничная торговля 5.2»</v>
      </c>
      <c r="B357" s="4" t="str">
        <f ca="1">IFERROR(__xludf.DUMMYFUNCTION("""COMPUTED_VALUE"""),"с ЕГАИС и МОТП, МЕГАМАРКЕТ")</f>
        <v>с ЕГАИС и МОТП, МЕГАМАРКЕТ</v>
      </c>
      <c r="C357" s="4" t="str">
        <f ca="1">IFERROR(__xludf.DUMMYFUNCTION("""COMPUTED_VALUE"""),"SSY1-RTL15CET-SHMRTL52")</f>
        <v>SSY1-RTL15CET-SHMRTL52</v>
      </c>
      <c r="D357" s="4" t="str">
        <f ca="1">IFERROR(__xludf.DUMMYFUNCTION("""COMPUTED_VALUE"""),"Продление подписки на обновления 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Инте"&amp;"рнет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от"&amp;"грузка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остатка"&amp;"х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7" s="4" t="str">
        <f ca="1">IFERROR(__xludf.DUMMYFUNCTION("""COMPUTED_VALUE"""),"Продление подписки на обновления 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«Штрих-М: Розничная торговля 5.2», для работы с маркированным товаром: АЛКОГОЛЬ, ТАБАК и товары по штрихкодам  на 1 (один) год</v>
      </c>
      <c r="F357" s="5">
        <f ca="1">IFERROR(__xludf.DUMMYFUNCTION("""COMPUTED_VALUE"""),5270)</f>
        <v>5270</v>
      </c>
    </row>
    <row r="358" spans="1:6" ht="72" customHeight="1" x14ac:dyDescent="0.2">
      <c r="A358" s="4" t="str">
        <f ca="1">IFERROR(__xludf.DUMMYFUNCTION("""COMPUTED_VALUE"""),"«Штрих-М: Розничная торговля 5.2»")</f>
        <v>«Штрих-М: Розничная торговля 5.2»</v>
      </c>
      <c r="B358" s="4" t="str">
        <f ca="1">IFERROR(__xludf.DUMMYFUNCTION("""COMPUTED_VALUE"""),"ШМОТКИ, БАЗОВЫЙ")</f>
        <v>ШМОТКИ, БАЗОВЫЙ</v>
      </c>
      <c r="C358" s="4" t="str">
        <f ca="1">IFERROR(__xludf.DUMMYFUNCTION("""COMPUTED_VALUE"""),"SSY1-RTL15AK-SHMRTL52")</f>
        <v>SSY1-RTL15AK-SHMRTL52</v>
      </c>
      <c r="D358" s="4" t="str">
        <f ca="1">IFERROR(__xludf.DUMMYFUNCTION("""COMPUTED_VALUE"""),"Продление подписки на обновления 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Инт"&amp;"ернет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н"&amp;"астройки,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Продление подписки на обновления 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8" s="4" t="str">
        <f ca="1">IFERROR(__xludf.DUMMYFUNCTION("""COMPUTED_VALUE"""),"Продление подписки на обновления 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«Штрих-М: Розничная торговля 5.2», для работы с маркированным товаром: ОБУВЬ, ОДЕЖДА, ПАРФЮМ, ШИНЫ и товары по штрихкодам  на 1 (один) год</v>
      </c>
      <c r="F358" s="5">
        <f ca="1">IFERROR(__xludf.DUMMYFUNCTION("""COMPUTED_VALUE"""),2430)</f>
        <v>2430</v>
      </c>
    </row>
    <row r="359" spans="1:6" ht="72" customHeight="1" x14ac:dyDescent="0.2">
      <c r="A359" s="4" t="str">
        <f ca="1">IFERROR(__xludf.DUMMYFUNCTION("""COMPUTED_VALUE"""),"«Штрих-М: Розничная торговля 5.2»")</f>
        <v>«Штрих-М: Розничная торговля 5.2»</v>
      </c>
      <c r="B359" s="4" t="str">
        <f ca="1">IFERROR(__xludf.DUMMYFUNCTION("""COMPUTED_VALUE"""),"ШМОТКИ, РАСШИРЕННЫЙ")</f>
        <v>ШМОТКИ, РАСШИРЕННЫЙ</v>
      </c>
      <c r="C359" s="4" t="str">
        <f ca="1">IFERROR(__xludf.DUMMYFUNCTION("""COMPUTED_VALUE"""),"SSY1-RTL15BK-SHMRTL52")</f>
        <v>SSY1-RTL15BK-SHMRTL52</v>
      </c>
      <c r="D359" s="4" t="str">
        <f ca="1">IFERROR(__xludf.DUMMYFUNCTION("""COMPUTED_VALUE"""),"Продление подписки на обновления 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через"&amp;"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справочнико"&amp;"в,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об"&amp;"новления и обмен через Интернет на 1 (один) год")</f>
        <v>Продление подписки на обновления 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59" s="4" t="str">
        <f ca="1">IFERROR(__xludf.DUMMYFUNCTION("""COMPUTED_VALUE"""),"Продление подписки на обновления 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«Штрих-М: Розничная торговля 5.2», для работы с маркированным товаром: ОБУВЬ, ОДЕЖДА, ПАРФЮМ, ШИНЫ и товары по штрихкодам  на 1 (один) год</v>
      </c>
      <c r="F359" s="5">
        <f ca="1">IFERROR(__xludf.DUMMYFUNCTION("""COMPUTED_VALUE"""),3710)</f>
        <v>3710</v>
      </c>
    </row>
    <row r="360" spans="1:6" ht="72" customHeight="1" x14ac:dyDescent="0.2">
      <c r="A360" s="4" t="str">
        <f ca="1">IFERROR(__xludf.DUMMYFUNCTION("""COMPUTED_VALUE"""),"«Штрих-М: Розничная торговля 5.2»")</f>
        <v>«Штрих-М: Розничная торговля 5.2»</v>
      </c>
      <c r="B360" s="4" t="str">
        <f ca="1">IFERROR(__xludf.DUMMYFUNCTION("""COMPUTED_VALUE"""),"ШМОТКИ, МЕГАМАРКЕТ")</f>
        <v>ШМОТКИ, МЕГАМАРКЕТ</v>
      </c>
      <c r="C360" s="4" t="str">
        <f ca="1">IFERROR(__xludf.DUMMYFUNCTION("""COMPUTED_VALUE"""),"SSY1-RTL15CK-SHMRTL52")</f>
        <v>SSY1-RTL15CK-SHMRTL52</v>
      </c>
      <c r="D360" s="4" t="str">
        <f ca="1">IFERROR(__xludf.DUMMYFUNCTION("""COMPUTED_VALUE"""),"Продление подписки на обновления 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"&amp;"Интернет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справочников"&amp;",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устрой"&amp;"ство, подписка на обновления и обмен через Интернет на 1 (один) год")</f>
        <v>Продление подписки на обновления 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0" s="4" t="str">
        <f ca="1">IFERROR(__xludf.DUMMYFUNCTION("""COMPUTED_VALUE"""),"Продление подписки на обновления 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«Штрих-М: Розничная торговля 5.2», для работы с маркированным товаром: ОБУВЬ, ОДЕЖДА, ПАРФЮМ, ШИНЫ и товары по штрихкодам  на 1 (один) год</v>
      </c>
      <c r="F360" s="5">
        <f ca="1">IFERROR(__xludf.DUMMYFUNCTION("""COMPUTED_VALUE"""),5270)</f>
        <v>5270</v>
      </c>
    </row>
    <row r="361" spans="1:6" ht="72" customHeight="1" x14ac:dyDescent="0.2">
      <c r="A361" s="4" t="str">
        <f ca="1">IFERROR(__xludf.DUMMYFUNCTION("""COMPUTED_VALUE"""),"«Штрих-М: Розничная торговля 5.2»")</f>
        <v>«Штрих-М: Розничная торговля 5.2»</v>
      </c>
      <c r="B361" s="4" t="str">
        <f ca="1">IFERROR(__xludf.DUMMYFUNCTION("""COMPUTED_VALUE"""),"ПРОДУКТОВЫЙ, БАЗОВЫЙ")</f>
        <v>ПРОДУКТОВЫЙ, БАЗОВЫЙ</v>
      </c>
      <c r="C361" s="4" t="str">
        <f ca="1">IFERROR(__xludf.DUMMYFUNCTION("""COMPUTED_VALUE"""),"SSY1-RTL15AG-SHMRTL52")</f>
        <v>SSY1-RTL15AG-SHMRTL52</v>
      </c>
      <c r="D361" s="4" t="str">
        <f ca="1">IFERROR(__xludf.DUMMYFUNCTION("""COMPUTED_VALUE"""),"Продление подписки на обновления 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пр"&amp;"оводной,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с"&amp;"писание,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"&amp;"контрагентах,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1" s="4" t="str">
        <f ca="1">IFERROR(__xludf.DUMMYFUNCTION("""COMPUTED_VALUE"""),"Продление подписки на обновления 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 на 1 (один) "&amp;"год")</f>
        <v>Продление подписки на обновления Mobile SMARTS: Магазин 15 ПРОДУКТОВЫЙ, БАЗОВЫЙ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61" s="5">
        <f ca="1">IFERROR(__xludf.DUMMYFUNCTION("""COMPUTED_VALUE"""),2910)</f>
        <v>2910</v>
      </c>
    </row>
    <row r="362" spans="1:6" ht="72" customHeight="1" x14ac:dyDescent="0.2">
      <c r="A362" s="4" t="str">
        <f ca="1">IFERROR(__xludf.DUMMYFUNCTION("""COMPUTED_VALUE"""),"«Штрих-М: Розничная торговля 5.2»")</f>
        <v>«Штрих-М: Розничная торговля 5.2»</v>
      </c>
      <c r="B362" s="4" t="str">
        <f ca="1">IFERROR(__xludf.DUMMYFUNCTION("""COMPUTED_VALUE"""),"ПРОДУКТОВЫЙ, РАСШИРЕННЫЙ")</f>
        <v>ПРОДУКТОВЫЙ, РАСШИРЕННЫЙ</v>
      </c>
      <c r="C362" s="4" t="str">
        <f ca="1">IFERROR(__xludf.DUMMYFUNCTION("""COMPUTED_VALUE"""),"SSY1-RTL15BG-SHMRTL52")</f>
        <v>SSY1-RTL15BG-SHMRTL52</v>
      </c>
      <c r="D362" s="4" t="str">
        <f ca="1">IFERROR(__xludf.DUMMYFUNCTION("""COMPUTED_VALUE"""),"Продление подписки на обновления 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выбо"&amp;"р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склад"&amp;"ах,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2" s="4" t="str">
        <f ca="1">IFERROR(__xludf.DUMMYFUNCTION("""COMPUTED_VALUE"""),"Продление подписки на обновления 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 на 1 (од"&amp;"ин) год")</f>
        <v>Продление подписки на обновления Mobile SMARTS: Магазин 15 ПРОДУКТОВЫЙ, РАСШИРЕННЫЙ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62" s="5">
        <f ca="1">IFERROR(__xludf.DUMMYFUNCTION("""COMPUTED_VALUE"""),4190)</f>
        <v>4190</v>
      </c>
    </row>
    <row r="363" spans="1:6" ht="72" customHeight="1" x14ac:dyDescent="0.2">
      <c r="A363" s="4" t="str">
        <f ca="1">IFERROR(__xludf.DUMMYFUNCTION("""COMPUTED_VALUE"""),"«Штрих-М: Розничная торговля 5.2»")</f>
        <v>«Штрих-М: Розничная торговля 5.2»</v>
      </c>
      <c r="B363" s="4" t="str">
        <f ca="1">IFERROR(__xludf.DUMMYFUNCTION("""COMPUTED_VALUE"""),"ПРОДУКТОВЫЙ, МЕГАМАРКЕТ")</f>
        <v>ПРОДУКТОВЫЙ, МЕГАМАРКЕТ</v>
      </c>
      <c r="C363" s="4" t="str">
        <f ca="1">IFERROR(__xludf.DUMMYFUNCTION("""COMPUTED_VALUE"""),"SSY1-RTL15CG-SHMRTL52")</f>
        <v>SSY1-RTL15CG-SHMRTL52</v>
      </c>
      <c r="D363" s="4" t="str">
        <f ca="1">IFERROR(__xludf.DUMMYFUNCTION("""COMPUTED_VALUE"""),"Продление подписки на обновления 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выбор"&amp;"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принтер)"&amp;",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информ"&amp;"ация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3" s="4" t="str">
        <f ca="1">IFERROR(__xludf.DUMMYFUNCTION("""COMPUTED_VALUE"""),"Продление подписки на обновления 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 на 1 (оди"&amp;"н) год")</f>
        <v>Продление подписки на обновления Mobile SMARTS: Магазин 15 ПРОДУКТОВЫЙ, МЕГАМАРКЕТ для «Штрих-М: Розничная торговля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63" s="5">
        <f ca="1">IFERROR(__xludf.DUMMYFUNCTION("""COMPUTED_VALUE"""),5650)</f>
        <v>5650</v>
      </c>
    </row>
    <row r="364" spans="1:6" ht="72" customHeight="1" x14ac:dyDescent="0.2">
      <c r="A364" s="4" t="str">
        <f ca="1">IFERROR(__xludf.DUMMYFUNCTION("""COMPUTED_VALUE"""),"«Штрих-М: Магазин 5.2»")</f>
        <v>«Штрих-М: Магазин 5.2»</v>
      </c>
      <c r="B364" s="4" t="str">
        <f ca="1">IFERROR(__xludf.DUMMYFUNCTION("""COMPUTED_VALUE"""),"МИНИМУМ")</f>
        <v>МИНИМУМ</v>
      </c>
      <c r="C364" s="4" t="str">
        <f ca="1">IFERROR(__xludf.DUMMYFUNCTION("""COMPUTED_VALUE"""),"SSY1-RTL15M-SHMSTORE52")</f>
        <v>SSY1-RTL15M-SHMSTORE52</v>
      </c>
      <c r="D364" s="4" t="str">
        <f ca="1">IFERROR(__xludf.DUMMYFUNCTION("""COMPUTED_VALUE"""),"Продление подписки на обновления Mobile SMARTS: Магазин 15, МИНИМУМ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инвентариза"&amp;"ция,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чер"&amp;"ез Интернет на 1 (один) год")</f>
        <v>Продление подписки на обновления Mobile SMARTS: Магазин 15, МИНИМУМ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64" s="4" t="str">
        <f ca="1">IFERROR(__xludf.DUMMYFUNCTION("""COMPUTED_VALUE"""),"Продление подписки на обновления Mobile SMARTS: Магазин 15, МИНИМУМ для «Штрих-М: Магазин 5.2», для работы с товаром по штрихкодам  на 1 (один) год")</f>
        <v>Продление подписки на обновления Mobile SMARTS: Магазин 15, МИНИМУМ для «Штрих-М: Магазин 5.2», для работы с товаром по штрихкодам  на 1 (один) год</v>
      </c>
      <c r="F364" s="5">
        <f ca="1">IFERROR(__xludf.DUMMYFUNCTION("""COMPUTED_VALUE"""),690)</f>
        <v>690</v>
      </c>
    </row>
    <row r="365" spans="1:6" ht="72" customHeight="1" x14ac:dyDescent="0.2">
      <c r="A365" s="4" t="str">
        <f ca="1">IFERROR(__xludf.DUMMYFUNCTION("""COMPUTED_VALUE"""),"«Штрих-М: Магазин 5.2»")</f>
        <v>«Штрих-М: Магазин 5.2»</v>
      </c>
      <c r="B365" s="4" t="str">
        <f ca="1">IFERROR(__xludf.DUMMYFUNCTION("""COMPUTED_VALUE"""),"БАЗОВЫЙ")</f>
        <v>БАЗОВЫЙ</v>
      </c>
      <c r="C365" s="4" t="str">
        <f ca="1">IFERROR(__xludf.DUMMYFUNCTION("""COMPUTED_VALUE"""),"SSY1-RTL15A-SHMSTORE52")</f>
        <v>SSY1-RTL15A-SHMSTORE52</v>
      </c>
      <c r="D365" s="4" t="str">
        <f ca="1">IFERROR(__xludf.DUMMYFUNCTION("""COMPUTED_VALUE"""),"Продление подписки на обновления Mobile SMARTS: Магазин 15, БАЗОВЫЙ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инвентаризация,"&amp;"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"&amp;"/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«Штрих-М: Магазин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5" s="4" t="str">
        <f ca="1">IFERROR(__xludf.DUMMYFUNCTION("""COMPUTED_VALUE"""),"Продление подписки на обновления Mobile SMARTS: Магазин 15, БАЗОВЫЙ для «Штрих-М: Магазин 5.2», для работы с товаром по штрихкодам  на 1 (один) год")</f>
        <v>Продление подписки на обновления Mobile SMARTS: Магазин 15, БАЗОВЫЙ для «Штрих-М: Магазин 5.2», для работы с товаром по штрихкодам  на 1 (один) год</v>
      </c>
      <c r="F365" s="5">
        <f ca="1">IFERROR(__xludf.DUMMYFUNCTION("""COMPUTED_VALUE"""),1730)</f>
        <v>1730</v>
      </c>
    </row>
    <row r="366" spans="1:6" ht="72" customHeight="1" x14ac:dyDescent="0.2">
      <c r="A366" s="4" t="str">
        <f ca="1">IFERROR(__xludf.DUMMYFUNCTION("""COMPUTED_VALUE"""),"«Штрих-М: Магазин 5.2»")</f>
        <v>«Штрих-М: Магазин 5.2»</v>
      </c>
      <c r="B366" s="4" t="str">
        <f ca="1">IFERROR(__xludf.DUMMYFUNCTION("""COMPUTED_VALUE"""),"РАСШИРЕННЫЙ")</f>
        <v>РАСШИРЕННЫЙ</v>
      </c>
      <c r="C366" s="4" t="str">
        <f ca="1">IFERROR(__xludf.DUMMYFUNCTION("""COMPUTED_VALUE"""),"SSY1-RTL15B-SHMSTORE52")</f>
        <v>SSY1-RTL15B-SHMSTORE52</v>
      </c>
      <c r="D366" s="4" t="str">
        <f ca="1">IFERROR(__xludf.DUMMYFUNCTION("""COMPUTED_VALUE"""),"Продление подписки на обновления Mobile SMARTS: Магазин 15, РАСШИРЕННЫЙ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инвентариза"&amp;"ция,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6" s="4" t="str">
        <f ca="1">IFERROR(__xludf.DUMMYFUNCTION("""COMPUTED_VALUE"""),"Продление подписки на обновления Mobile SMARTS: Магазин 15, РАСШИРЕННЫЙ для «Штрих-М: Магазин 5.2», для работы с товаром по штрихкодам  на 1 (один) год")</f>
        <v>Продление подписки на обновления Mobile SMARTS: Магазин 15, РАСШИРЕННЫЙ для «Штрих-М: Магазин 5.2», для работы с товаром по штрихкодам  на 1 (один) год</v>
      </c>
      <c r="F366" s="5">
        <f ca="1">IFERROR(__xludf.DUMMYFUNCTION("""COMPUTED_VALUE"""),3010)</f>
        <v>3010</v>
      </c>
    </row>
    <row r="367" spans="1:6" ht="72" customHeight="1" x14ac:dyDescent="0.2">
      <c r="A367" s="4" t="str">
        <f ca="1">IFERROR(__xludf.DUMMYFUNCTION("""COMPUTED_VALUE"""),"«Штрих-М: Магазин 5.2»")</f>
        <v>«Штрих-М: Магазин 5.2»</v>
      </c>
      <c r="B367" s="4" t="str">
        <f ca="1">IFERROR(__xludf.DUMMYFUNCTION("""COMPUTED_VALUE"""),"МЕГАМАРКЕТ")</f>
        <v>МЕГАМАРКЕТ</v>
      </c>
      <c r="C367" s="4" t="str">
        <f ca="1">IFERROR(__xludf.DUMMYFUNCTION("""COMPUTED_VALUE"""),"SSY1-RTL15C-SHMSTORE52")</f>
        <v>SSY1-RTL15C-SHMSTORE52</v>
      </c>
      <c r="D367" s="4" t="str">
        <f ca="1">IFERROR(__xludf.DUMMYFUNCTION("""COMPUTED_VALUE"""),"Продление подписки на обновления Mobile SMARTS: Магазин 15, МЕГАМАРКЕТ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инвентаризац"&amp;"ия,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ост"&amp;"атках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«Штрих-М: Магазин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7" s="4" t="str">
        <f ca="1">IFERROR(__xludf.DUMMYFUNCTION("""COMPUTED_VALUE"""),"Продление подписки на обновления Mobile SMARTS: Магазин 15, МЕГАМАРКЕТ для «Штрих-М: Магазин 5.2», для работы с товаром по штрихкодам  на 1 (один) год")</f>
        <v>Продление подписки на обновления Mobile SMARTS: Магазин 15, МЕГАМАРКЕТ для «Штрих-М: Магазин 5.2», для работы с товаром по штрихкодам  на 1 (один) год</v>
      </c>
      <c r="F367" s="5">
        <f ca="1">IFERROR(__xludf.DUMMYFUNCTION("""COMPUTED_VALUE"""),4310)</f>
        <v>4310</v>
      </c>
    </row>
    <row r="368" spans="1:6" ht="72" customHeight="1" x14ac:dyDescent="0.2">
      <c r="A368" s="4" t="str">
        <f ca="1">IFERROR(__xludf.DUMMYFUNCTION("""COMPUTED_VALUE"""),"«Штрих-М: Магазин 5.2»")</f>
        <v>«Штрих-М: Магазин 5.2»</v>
      </c>
      <c r="B368" s="4" t="str">
        <f ca="1">IFERROR(__xludf.DUMMYFUNCTION("""COMPUTED_VALUE"""),"с ЕГАИС, БАЗОВЫЙ")</f>
        <v>с ЕГАИС, БАЗОВЫЙ</v>
      </c>
      <c r="C368" s="4" t="str">
        <f ca="1">IFERROR(__xludf.DUMMYFUNCTION("""COMPUTED_VALUE"""),"SSY1-RTL15AE-SHMSTORE52")</f>
        <v>SSY1-RTL15AE-SHMSTORE52</v>
      </c>
      <c r="D368" s="4" t="str">
        <f ca="1">IFERROR(__xludf.DUMMYFUNCTION("""COMPUTED_VALUE"""),"Продление подписки на обновления Mobile SMARTS: Магазин 15 с ЕГАИС, БАЗОВЫЙ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д"&amp;"оступные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мобил"&amp;"ьный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("&amp;"один) год")</f>
        <v>Продление подписки на обновления Mobile SMARTS: Магазин 15 с ЕГАИС, БАЗОВЫЙ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68" s="4" t="str">
        <f ca="1">IFERROR(__xludf.DUMMYFUNCTION("""COMPUTED_VALUE"""),"Продление подписки на обновления Mobile SMARTS: Магазин 15 с ЕГАИС, БАЗОВЫЙ для «Штрих-М: Магазин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«Штрих-М: Магазин 5.2», для работы с маркированным товаром: алкоголь ЕГАИС и товары по штрихкодам  на 1 (один) год</v>
      </c>
      <c r="F368" s="5">
        <f ca="1">IFERROR(__xludf.DUMMYFUNCTION("""COMPUTED_VALUE"""),2200)</f>
        <v>2200</v>
      </c>
    </row>
    <row r="369" spans="1:6" ht="72" customHeight="1" x14ac:dyDescent="0.2">
      <c r="A369" s="4" t="str">
        <f ca="1">IFERROR(__xludf.DUMMYFUNCTION("""COMPUTED_VALUE"""),"«Штрих-М: Магазин 5.2»")</f>
        <v>«Штрих-М: Магазин 5.2»</v>
      </c>
      <c r="B369" s="4" t="str">
        <f ca="1">IFERROR(__xludf.DUMMYFUNCTION("""COMPUTED_VALUE"""),"с ЕГАИС, РАСШИРЕННЫЙ")</f>
        <v>с ЕГАИС, РАСШИРЕННЫЙ</v>
      </c>
      <c r="C369" s="4" t="str">
        <f ca="1">IFERROR(__xludf.DUMMYFUNCTION("""COMPUTED_VALUE"""),"SSY1-RTL15BE-SHMSTORE52")</f>
        <v>SSY1-RTL15BE-SHMSTORE52</v>
      </c>
      <c r="D369" s="4" t="str">
        <f ca="1">IFERROR(__xludf.DUMMYFUNCTION("""COMPUTED_VALUE"""),"Продление подписки на обновления Mobile SMARTS: Магазин 15 с ЕГАИС, РАСШИРЕННЫЙ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ОНЛАЙН"&amp;"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м"&amp;"обильный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Интерн"&amp;"ет на 1 (один) год")</f>
        <v>Продление подписки на обновления Mobile SMARTS: Магазин 15 с ЕГАИС, РАСШИРЕННЫЙ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69" s="4" t="str">
        <f ca="1">IFERROR(__xludf.DUMMYFUNCTION("""COMPUTED_VALUE"""),"Продление подписки на обновления Mobile SMARTS: Магазин 15 с ЕГАИС, РАСШИРЕННЫЙ для «Штрих-М: Магазин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«Штрих-М: Магазин 5.2», для работы с маркированным товаром: алкоголь ЕГАИС и товары по штрихкодам  на 1 (один) год</v>
      </c>
      <c r="F369" s="5">
        <f ca="1">IFERROR(__xludf.DUMMYFUNCTION("""COMPUTED_VALUE"""),3490)</f>
        <v>3490</v>
      </c>
    </row>
    <row r="370" spans="1:6" ht="72" customHeight="1" x14ac:dyDescent="0.2">
      <c r="A370" s="4" t="str">
        <f ca="1">IFERROR(__xludf.DUMMYFUNCTION("""COMPUTED_VALUE"""),"«Штрих-М: Магазин 5.2»")</f>
        <v>«Штрих-М: Магазин 5.2»</v>
      </c>
      <c r="B370" s="4" t="str">
        <f ca="1">IFERROR(__xludf.DUMMYFUNCTION("""COMPUTED_VALUE"""),"с ЕГАИС (без CheckMark2), МЕГАМАРКЕТ")</f>
        <v>с ЕГАИС (без CheckMark2), МЕГАМАРКЕТ</v>
      </c>
      <c r="C370" s="4" t="str">
        <f ca="1">IFERROR(__xludf.DUMMYFUNCTION("""COMPUTED_VALUE"""),"SSY1-RTL15CEV-SHMSTORE52")</f>
        <v>SSY1-RTL15CEV-SHMSTORE52</v>
      </c>
      <c r="D370" s="4" t="str">
        <f ca="1">IFERROR(__xludf.DUMMYFUNCTION("""COMPUTED_VALUE"""),"Продление подписки на обновления Mobile SMARTS: Магазин 15 с ЕГАИС (без CheckMark2), МЕГАМАРКЕТ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Интерн"&amp;"ет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возможно"&amp;"сти: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подписк"&amp;"а на обновления и обмен через Интернет на 1 (один) год")</f>
        <v>Продление подписки на обновления Mobile SMARTS: Магазин 15 с ЕГАИС (без CheckMark2), МЕГАМАРКЕТ для «Штрих-М: Магазин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0" s="4" t="str">
        <f ca="1">IFERROR(__xludf.DUMMYFUNCTION("""COMPUTED_VALUE"""),"Продление подписки на обновления Mobile SMARTS: Магазин 15 с ЕГАИС (без CheckMark2), МЕГАМАРКЕТ для «Штрих-М: Магазин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«Штрих-М: Магазин 5.2», для работы с маркированным товаром: алкоголь ЕГАИС и товары по штрихкодам  на 1 (один) год</v>
      </c>
      <c r="F370" s="5">
        <f ca="1">IFERROR(__xludf.DUMMYFUNCTION("""COMPUTED_VALUE"""),4770)</f>
        <v>4770</v>
      </c>
    </row>
    <row r="371" spans="1:6" ht="72" customHeight="1" x14ac:dyDescent="0.2">
      <c r="A371" s="4" t="str">
        <f ca="1">IFERROR(__xludf.DUMMYFUNCTION("""COMPUTED_VALUE"""),"«Штрих-М: Магазин 5.2»")</f>
        <v>«Штрих-М: Магазин 5.2»</v>
      </c>
      <c r="B371" s="4" t="str">
        <f ca="1">IFERROR(__xludf.DUMMYFUNCTION("""COMPUTED_VALUE"""),"с МОТП, БАЗОВЫЙ")</f>
        <v>с МОТП, БАЗОВЫЙ</v>
      </c>
      <c r="C371" s="4" t="str">
        <f ca="1">IFERROR(__xludf.DUMMYFUNCTION("""COMPUTED_VALUE"""),"SSY1-RTL15AT-SHMSTORE52")</f>
        <v>SSY1-RTL15AT-SHMSTORE52</v>
      </c>
      <c r="D371" s="4" t="str">
        <f ca="1">IFERROR(__xludf.DUMMYFUNCTION("""COMPUTED_VALUE"""),"Продление подписки на обновления Mobile SMARTS: Магазин 15 с МОТП, БАЗОВЫЙ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"&amp;"(один) год")</f>
        <v>Продление подписки на обновления Mobile SMARTS: Магазин 15 с МОТП, БАЗОВЫЙ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1" s="4" t="str">
        <f ca="1">IFERROR(__xludf.DUMMYFUNCTION("""COMPUTED_VALUE"""),"Продление подписки на обновления Mobile SMARTS: Магазин 15 с МОТП, БАЗОВЫЙ для «Штрих-М: Магазин 5.2»,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«Штрих-М: Магазин 5.2», для работы с маркированным товаром: ТАБАК и товары по штрихкодам  на 1 (один) год</v>
      </c>
      <c r="F371" s="5">
        <f ca="1">IFERROR(__xludf.DUMMYFUNCTION("""COMPUTED_VALUE"""),2230)</f>
        <v>2230</v>
      </c>
    </row>
    <row r="372" spans="1:6" ht="72" customHeight="1" x14ac:dyDescent="0.2">
      <c r="A372" s="4" t="str">
        <f ca="1">IFERROR(__xludf.DUMMYFUNCTION("""COMPUTED_VALUE"""),"«Штрих-М: Магазин 5.2»")</f>
        <v>«Штрих-М: Магазин 5.2»</v>
      </c>
      <c r="B372" s="4" t="str">
        <f ca="1">IFERROR(__xludf.DUMMYFUNCTION("""COMPUTED_VALUE"""),"с МОТП, РАСШИРЕННЫЙ")</f>
        <v>с МОТП, РАСШИРЕННЫЙ</v>
      </c>
      <c r="C372" s="4" t="str">
        <f ca="1">IFERROR(__xludf.DUMMYFUNCTION("""COMPUTED_VALUE"""),"SSY1-RTL15BT-SHMSTORE52")</f>
        <v>SSY1-RTL15BT-SHMSTORE52</v>
      </c>
      <c r="D372" s="4" t="str">
        <f ca="1">IFERROR(__xludf.DUMMYFUNCTION("""COMPUTED_VALUE"""),"Продление подписки на обновления Mobile SMARTS: Магазин 15 с МОТП, РАСШИРЕННЫЙ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доступн"&amp;"ые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/"&amp;"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н"&amp;"а 1 (один) год")</f>
        <v>Продление подписки на обновления Mobile SMARTS: Магазин 15 с МОТП, РАСШИРЕННЫЙ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2" s="4" t="str">
        <f ca="1">IFERROR(__xludf.DUMMYFUNCTION("""COMPUTED_VALUE"""),"Продление подписки на обновления Mobile SMARTS: Магазин 15 с МОТП, РАСШИРЕННЫЙ для «Штрих-М: Магазин 5.2»,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«Штрих-М: Магазин 5.2», для работы с маркированным товаром: ТАБАК и товары по штрихкодам  на 1 (один) год</v>
      </c>
      <c r="F372" s="5">
        <f ca="1">IFERROR(__xludf.DUMMYFUNCTION("""COMPUTED_VALUE"""),3490)</f>
        <v>3490</v>
      </c>
    </row>
    <row r="373" spans="1:6" ht="72" customHeight="1" x14ac:dyDescent="0.2">
      <c r="A373" s="4" t="str">
        <f ca="1">IFERROR(__xludf.DUMMYFUNCTION("""COMPUTED_VALUE"""),"«Штрих-М: Магазин 5.2»")</f>
        <v>«Штрих-М: Магазин 5.2»</v>
      </c>
      <c r="B373" s="4" t="str">
        <f ca="1">IFERROR(__xludf.DUMMYFUNCTION("""COMPUTED_VALUE"""),"с МОТП, МЕГАМАРКЕТ")</f>
        <v>с МОТП, МЕГАМАРКЕТ</v>
      </c>
      <c r="C373" s="4" t="str">
        <f ca="1">IFERROR(__xludf.DUMMYFUNCTION("""COMPUTED_VALUE"""),"SSY1-RTL15CT-SHMSTORE52")</f>
        <v>SSY1-RTL15CT-SHMSTORE52</v>
      </c>
      <c r="D373" s="4" t="str">
        <f ca="1">IFERROR(__xludf.DUMMYFUNCTION("""COMPUTED_VALUE"""),"Продление подписки на обновления Mobile SMARTS: Магазин 15 с МОТП, МЕГАМАРКЕТ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доступны"&amp;"е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"&amp;"возможности: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об"&amp;"мен через Интернет на 1 (один) год")</f>
        <v>Продление подписки на обновления Mobile SMARTS: Магазин 15 с МОТП, МЕГАМАРКЕТ для «Штрих-М: Магазин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3" s="4" t="str">
        <f ca="1">IFERROR(__xludf.DUMMYFUNCTION("""COMPUTED_VALUE"""),"Продление подписки на обновления Mobile SMARTS: Магазин 15 с МОТП, МЕГАМАРКЕТ для «Штрих-М: Магазин 5.2»,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«Штрих-М: Магазин 5.2», для работы с маркированным товаром: ТАБАК и товары по штрихкодам  на 1 (один) год</v>
      </c>
      <c r="F373" s="5">
        <f ca="1">IFERROR(__xludf.DUMMYFUNCTION("""COMPUTED_VALUE"""),4770)</f>
        <v>4770</v>
      </c>
    </row>
    <row r="374" spans="1:6" ht="72" customHeight="1" x14ac:dyDescent="0.2">
      <c r="A374" s="4" t="str">
        <f ca="1">IFERROR(__xludf.DUMMYFUNCTION("""COMPUTED_VALUE"""),"«Штрих-М: Магазин 5.2»")</f>
        <v>«Штрих-М: Магазин 5.2»</v>
      </c>
      <c r="B374" s="4" t="str">
        <f ca="1">IFERROR(__xludf.DUMMYFUNCTION("""COMPUTED_VALUE"""),"с ЕГАИС и МОТП, БАЗОВЫЙ")</f>
        <v>с ЕГАИС и МОТП, БАЗОВЫЙ</v>
      </c>
      <c r="C374" s="4" t="str">
        <f ca="1">IFERROR(__xludf.DUMMYFUNCTION("""COMPUTED_VALUE"""),"SSY1-RTL15AET-SHMSTORE52")</f>
        <v>SSY1-RTL15AET-SHMSTORE52</v>
      </c>
      <c r="D374" s="4" t="str">
        <f ca="1">IFERROR(__xludf.DUMMYFUNCTION("""COMPUTED_VALUE"""),"Продление подписки на обновления Mobile SMARTS: Магазин 15 с ЕГАИС и МОТП, БАЗОВЫЙ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онл"&amp;"айна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КМ),"&amp;"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сущ"&amp;"ествующих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4" s="4" t="str">
        <f ca="1">IFERROR(__xludf.DUMMYFUNCTION("""COMPUTED_VALUE"""),"Продление подписки на обновления Mobile SMARTS: Магазин 15 с ЕГАИС и МОТП, БАЗОВЫЙ для «Штрих-М: Магазин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«Штрих-М: Магазин 5.2», для работы с маркированным товаром: АЛКОГОЛЬ, ТАБАК и товары по штрихкодам  на 1 (один) год</v>
      </c>
      <c r="F374" s="5">
        <f ca="1">IFERROR(__xludf.DUMMYFUNCTION("""COMPUTED_VALUE"""),2430)</f>
        <v>2430</v>
      </c>
    </row>
    <row r="375" spans="1:6" ht="72" customHeight="1" x14ac:dyDescent="0.2">
      <c r="A375" s="4" t="str">
        <f ca="1">IFERROR(__xludf.DUMMYFUNCTION("""COMPUTED_VALUE"""),"«Штрих-М: Магазин 5.2»")</f>
        <v>«Штрих-М: Магазин 5.2»</v>
      </c>
      <c r="B375" s="4" t="str">
        <f ca="1">IFERROR(__xludf.DUMMYFUNCTION("""COMPUTED_VALUE"""),"с ЕГАИС и МОТП, РАСШИРЕННЫЙ")</f>
        <v>с ЕГАИС и МОТП, РАСШИРЕННЫЙ</v>
      </c>
      <c r="C375" s="4" t="str">
        <f ca="1">IFERROR(__xludf.DUMMYFUNCTION("""COMPUTED_VALUE"""),"SSY1-RTL15BET-SHMSTORE52")</f>
        <v>SSY1-RTL15BET-SHMSTORE52</v>
      </c>
      <c r="D375" s="4" t="str">
        <f ca="1">IFERROR(__xludf.DUMMYFUNCTION("""COMPUTED_VALUE"""),"Продление подписки на обновления Mobile SMARTS: Магазин 15 с ЕГАИС и МОТП, РАСШИРЕННЫЙ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ест"&amp;"ь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"&amp;"КМ),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изменение"&amp;"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5" s="4" t="str">
        <f ca="1">IFERROR(__xludf.DUMMYFUNCTION("""COMPUTED_VALUE"""),"Продление подписки на обновления Mobile SMARTS: Магазин 15 с ЕГАИС и МОТП, РАСШИРЕННЫЙ для «Штрих-М: Магазин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«Штрих-М: Магазин 5.2», для работы с маркированным товаром: АЛКОГОЛЬ, ТАБАК и товары по штрихкодам  на 1 (один) год</v>
      </c>
      <c r="F375" s="5">
        <f ca="1">IFERROR(__xludf.DUMMYFUNCTION("""COMPUTED_VALUE"""),3710)</f>
        <v>3710</v>
      </c>
    </row>
    <row r="376" spans="1:6" ht="72" customHeight="1" x14ac:dyDescent="0.2">
      <c r="A376" s="4" t="str">
        <f ca="1">IFERROR(__xludf.DUMMYFUNCTION("""COMPUTED_VALUE"""),"«Штрих-М: Магазин 5.2»")</f>
        <v>«Штрих-М: Магазин 5.2»</v>
      </c>
      <c r="B376" s="4" t="str">
        <f ca="1">IFERROR(__xludf.DUMMYFUNCTION("""COMPUTED_VALUE"""),"с ЕГАИС и МОТП, МЕГАМАРКЕТ")</f>
        <v>с ЕГАИС и МОТП, МЕГАМАРКЕТ</v>
      </c>
      <c r="C376" s="4" t="str">
        <f ca="1">IFERROR(__xludf.DUMMYFUNCTION("""COMPUTED_VALUE"""),"SSY1-RTL15CET-SHMSTORE52")</f>
        <v>SSY1-RTL15CET-SHMSTORE52</v>
      </c>
      <c r="D376" s="4" t="str">
        <f ca="1">IFERROR(__xludf.DUMMYFUNCTION("""COMPUTED_VALUE"""),"Продление подписки на обновления Mobile SMARTS: Магазин 15 с ЕГАИС и МОТП, МЕГАМАРКЕТ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есть"&amp;"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К"&amp;"М),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«Штрих-М: Магазин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6" s="4" t="str">
        <f ca="1">IFERROR(__xludf.DUMMYFUNCTION("""COMPUTED_VALUE"""),"Продление подписки на обновления Mobile SMARTS: Магазин 15 с ЕГАИС и МОТП, МЕГАМАРКЕТ для «Штрих-М: Магазин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«Штрих-М: Магазин 5.2», для работы с маркированным товаром: АЛКОГОЛЬ, ТАБАК и товары по штрихкодам  на 1 (один) год</v>
      </c>
      <c r="F376" s="5">
        <f ca="1">IFERROR(__xludf.DUMMYFUNCTION("""COMPUTED_VALUE"""),5270)</f>
        <v>5270</v>
      </c>
    </row>
    <row r="377" spans="1:6" ht="72" customHeight="1" x14ac:dyDescent="0.2">
      <c r="A377" s="4" t="str">
        <f ca="1">IFERROR(__xludf.DUMMYFUNCTION("""COMPUTED_VALUE"""),"«Штрих-М: Магазин 5.2»")</f>
        <v>«Штрих-М: Магазин 5.2»</v>
      </c>
      <c r="B377" s="4" t="str">
        <f ca="1">IFERROR(__xludf.DUMMYFUNCTION("""COMPUTED_VALUE"""),"ШМОТКИ, БАЗОВЫЙ")</f>
        <v>ШМОТКИ, БАЗОВЫЙ</v>
      </c>
      <c r="C377" s="4" t="str">
        <f ca="1">IFERROR(__xludf.DUMMYFUNCTION("""COMPUTED_VALUE"""),"SSY1-RTL15AK-SHMSTORE52")</f>
        <v>SSY1-RTL15AK-SHMSTORE52</v>
      </c>
      <c r="D377" s="4" t="str">
        <f ca="1">IFERROR(__xludf.DUMMYFUNCTION("""COMPUTED_VALUE"""),"Продление подписки на обновления Mobile SMARTS: Магазин 15 ШМОТКИ, БАЗОВЫЙ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нет"&amp;"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п"&amp;"роверка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обме"&amp;"н через Интернет на 1 (один) год")</f>
        <v>Продление подписки на обновления Mobile SMARTS: Магазин 15 ШМОТКИ, БАЗОВЫЙ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7" s="4" t="str">
        <f ca="1">IFERROR(__xludf.DUMMYFUNCTION("""COMPUTED_VALUE"""),"Продление подписки на обновления Mobile SMARTS: Магазин 15 ШМОТКИ, БАЗОВЫЙ для «Штрих-М: Магазин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«Штрих-М: Магазин 5.2», для работы с маркированным товаром: ОБУВЬ, ОДЕЖДА, ПАРФЮМ, ШИНЫ и товары по штрихкодам  на 1 (один) год</v>
      </c>
      <c r="F377" s="5">
        <f ca="1">IFERROR(__xludf.DUMMYFUNCTION("""COMPUTED_VALUE"""),2430)</f>
        <v>2430</v>
      </c>
    </row>
    <row r="378" spans="1:6" ht="72" customHeight="1" x14ac:dyDescent="0.2">
      <c r="A378" s="4" t="str">
        <f ca="1">IFERROR(__xludf.DUMMYFUNCTION("""COMPUTED_VALUE"""),"«Штрих-М: Магазин 5.2»")</f>
        <v>«Штрих-М: Магазин 5.2»</v>
      </c>
      <c r="B378" s="4" t="str">
        <f ca="1">IFERROR(__xludf.DUMMYFUNCTION("""COMPUTED_VALUE"""),"ШМОТКИ, РАСШИРЕННЫЙ")</f>
        <v>ШМОТКИ, РАСШИРЕННЫЙ</v>
      </c>
      <c r="C378" s="4" t="str">
        <f ca="1">IFERROR(__xludf.DUMMYFUNCTION("""COMPUTED_VALUE"""),"SSY1-RTL15BK-SHMSTORE52")</f>
        <v>SSY1-RTL15BK-SHMSTORE52</v>
      </c>
      <c r="D378" s="4" t="str">
        <f ca="1">IFERROR(__xludf.DUMMYFUNCTION("""COMPUTED_VALUE"""),"Продление подписки на обновления Mobile SMARTS: Магазин 15 ШМОТКИ, РАСШИРЕННЫЙ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/"&amp;"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настройк"&amp;"и,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"&amp;"обмен через Интернет на 1 (один) год")</f>
        <v>Продление подписки на обновления Mobile SMARTS: Магазин 15 ШМОТКИ, РАСШИРЕННЫЙ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8" s="4" t="str">
        <f ca="1">IFERROR(__xludf.DUMMYFUNCTION("""COMPUTED_VALUE"""),"Продление подписки на обновления Mobile SMARTS: Магазин 15 ШМОТКИ, РАСШИРЕННЫЙ для «Штрих-М: Магазин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«Штрих-М: Магазин 5.2», для работы с маркированным товаром: ОБУВЬ, ОДЕЖДА, ПАРФЮМ, ШИНЫ и товары по штрихкодам  на 1 (один) год</v>
      </c>
      <c r="F378" s="5">
        <f ca="1">IFERROR(__xludf.DUMMYFUNCTION("""COMPUTED_VALUE"""),3710)</f>
        <v>3710</v>
      </c>
    </row>
    <row r="379" spans="1:6" ht="72" customHeight="1" x14ac:dyDescent="0.2">
      <c r="A379" s="4" t="str">
        <f ca="1">IFERROR(__xludf.DUMMYFUNCTION("""COMPUTED_VALUE"""),"«Штрих-М: Магазин 5.2»")</f>
        <v>«Штрих-М: Магазин 5.2»</v>
      </c>
      <c r="B379" s="4" t="str">
        <f ca="1">IFERROR(__xludf.DUMMYFUNCTION("""COMPUTED_VALUE"""),"ШМОТКИ, МЕГАМАРКЕТ")</f>
        <v>ШМОТКИ, МЕГАМАРКЕТ</v>
      </c>
      <c r="C379" s="4" t="str">
        <f ca="1">IFERROR(__xludf.DUMMYFUNCTION("""COMPUTED_VALUE"""),"SSY1-RTL15CK-SHMSTORE52")</f>
        <v>SSY1-RTL15CK-SHMSTORE52</v>
      </c>
      <c r="D379" s="4" t="str">
        <f ca="1">IFERROR(__xludf.DUMMYFUNCTION("""COMPUTED_VALUE"""),"Продление подписки на обновления Mobile SMARTS: Магазин 15 ШМОТКИ, МЕГАМАРКЕТ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"&amp;"есть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настройки"&amp;",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подпи"&amp;"ска на обновления и обмен через Интернет на 1 (один) год")</f>
        <v>Продление подписки на обновления Mobile SMARTS: Магазин 15 ШМОТКИ, МЕГАМАРКЕТ для «Штрих-М: Магазин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79" s="4" t="str">
        <f ca="1">IFERROR(__xludf.DUMMYFUNCTION("""COMPUTED_VALUE"""),"Продление подписки на обновления Mobile SMARTS: Магазин 15 ШМОТКИ, МЕГАМАРКЕТ для «Штрих-М: Магазин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«Штрих-М: Магазин 5.2», для работы с маркированным товаром: ОБУВЬ, ОДЕЖДА, ПАРФЮМ, ШИНЫ и товары по штрихкодам  на 1 (один) год</v>
      </c>
      <c r="F379" s="5">
        <f ca="1">IFERROR(__xludf.DUMMYFUNCTION("""COMPUTED_VALUE"""),5270)</f>
        <v>5270</v>
      </c>
    </row>
    <row r="380" spans="1:6" ht="72" customHeight="1" x14ac:dyDescent="0.2">
      <c r="A380" s="4" t="str">
        <f ca="1">IFERROR(__xludf.DUMMYFUNCTION("""COMPUTED_VALUE"""),"«Штрих-М: Магазин 5.2»")</f>
        <v>«Штрих-М: Магазин 5.2»</v>
      </c>
      <c r="B380" s="4" t="str">
        <f ca="1">IFERROR(__xludf.DUMMYFUNCTION("""COMPUTED_VALUE"""),"ПРОДУКТОВЫЙ, БАЗОВЫЙ")</f>
        <v>ПРОДУКТОВЫЙ, БАЗОВЫЙ</v>
      </c>
      <c r="C380" s="4" t="str">
        <f ca="1">IFERROR(__xludf.DUMMYFUNCTION("""COMPUTED_VALUE"""),"SSY1-RTL15AG-SHMSTORE52")</f>
        <v>SSY1-RTL15AG-SHMSTORE52</v>
      </c>
      <c r="D380" s="4" t="str">
        <f ca="1">IFERROR(__xludf.DUMMYFUNCTION("""COMPUTED_VALUE"""),"Продление подписки на обновления 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бе"&amp;"спроводной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во"&amp;"зврат,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контрагента"&amp;"х,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0" s="4" t="str">
        <f ca="1">IFERROR(__xludf.DUMMYFUNCTION("""COMPUTED_VALUE"""),"Продление подписки на обновления 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БАЗОВЫЙ для «Штрих-М: Магазин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80" s="5">
        <f ca="1">IFERROR(__xludf.DUMMYFUNCTION("""COMPUTED_VALUE"""),2910)</f>
        <v>2910</v>
      </c>
    </row>
    <row r="381" spans="1:6" ht="72" customHeight="1" x14ac:dyDescent="0.2">
      <c r="A381" s="4" t="str">
        <f ca="1">IFERROR(__xludf.DUMMYFUNCTION("""COMPUTED_VALUE"""),"«Штрих-М: Магазин 5.2»")</f>
        <v>«Штрих-М: Магазин 5.2»</v>
      </c>
      <c r="B381" s="4" t="str">
        <f ca="1">IFERROR(__xludf.DUMMYFUNCTION("""COMPUTED_VALUE"""),"ПРОДУКТОВЫЙ, РАСШИРЕННЫЙ")</f>
        <v>ПРОДУКТОВЫЙ, РАСШИРЕННЫЙ</v>
      </c>
      <c r="C381" s="4" t="str">
        <f ca="1">IFERROR(__xludf.DUMMYFUNCTION("""COMPUTED_VALUE"""),"SSY1-RTL15BG-SHMSTORE52")</f>
        <v>SSY1-RTL15BG-SHMSTORE52</v>
      </c>
      <c r="D381" s="4" t="str">
        <f ca="1">IFERROR(__xludf.DUMMYFUNCTION("""COMPUTED_VALUE"""),"Продление подписки на обновления 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проводной"&amp;",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списание"&amp;",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контраг"&amp;"ентах,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1" s="4" t="str">
        <f ca="1">IFERROR(__xludf.DUMMYFUNCTION("""COMPUTED_VALUE"""),"Продление подписки на обновления 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РАСШИРЕННЫЙ для «Штрих-М: Магазин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81" s="5">
        <f ca="1">IFERROR(__xludf.DUMMYFUNCTION("""COMPUTED_VALUE"""),4190)</f>
        <v>4190</v>
      </c>
    </row>
    <row r="382" spans="1:6" ht="72" customHeight="1" x14ac:dyDescent="0.2">
      <c r="A382" s="4" t="str">
        <f ca="1">IFERROR(__xludf.DUMMYFUNCTION("""COMPUTED_VALUE"""),"«Штрих-М: Магазин 5.2»")</f>
        <v>«Штрих-М: Магазин 5.2»</v>
      </c>
      <c r="B382" s="4" t="str">
        <f ca="1">IFERROR(__xludf.DUMMYFUNCTION("""COMPUTED_VALUE"""),"ПРОДУКТОВЫЙ, МЕГАМАРКЕТ")</f>
        <v>ПРОДУКТОВЫЙ, МЕГАМАРКЕТ</v>
      </c>
      <c r="C382" s="4" t="str">
        <f ca="1">IFERROR(__xludf.DUMMYFUNCTION("""COMPUTED_VALUE"""),"SSY1-RTL15CG-SHMSTORE52")</f>
        <v>SSY1-RTL15CG-SHMSTORE52</v>
      </c>
      <c r="D382" s="4" t="str">
        <f ca="1">IFERROR(__xludf.DUMMYFUNCTION("""COMPUTED_VALUE"""),"Продление подписки на обновления 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проводной,"&amp;"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списание,"&amp;"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това"&amp;"ре,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2" s="4" t="str">
        <f ca="1">IFERROR(__xludf.DUMMYFUNCTION("""COMPUTED_VALUE"""),"Продление подписки на обновления 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МЕГАМАРКЕТ для «Штрих-М: Магазин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82" s="5">
        <f ca="1">IFERROR(__xludf.DUMMYFUNCTION("""COMPUTED_VALUE"""),5650)</f>
        <v>5650</v>
      </c>
    </row>
    <row r="383" spans="1:6" ht="72" customHeight="1" x14ac:dyDescent="0.2">
      <c r="A383" s="4" t="str">
        <f ca="1">IFERROR(__xludf.DUMMYFUNCTION("""COMPUTED_VALUE"""),"«Штрих-М: Розничная сеть 5.2»")</f>
        <v>«Штрих-М: Розничная сеть 5.2»</v>
      </c>
      <c r="B383" s="4" t="str">
        <f ca="1">IFERROR(__xludf.DUMMYFUNCTION("""COMPUTED_VALUE"""),"МИНИМУМ")</f>
        <v>МИНИМУМ</v>
      </c>
      <c r="C383" s="4" t="str">
        <f ca="1">IFERROR(__xludf.DUMMYFUNCTION("""COMPUTED_VALUE"""),"SSY1-RTL15M-SHMSTOREC52")</f>
        <v>SSY1-RTL15M-SHMSTOREC52</v>
      </c>
      <c r="D383" s="4" t="str">
        <f ca="1">IFERROR(__xludf.DUMMYFUNCTION("""COMPUTED_VALUE"""),"Продление подписки на обновления Mobile SMARTS: Магазин 15, МИНИМУМ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инве"&amp;"нтаризация,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об"&amp;"мен через Интернет на 1 (один) год")</f>
        <v>Продление подписки на обновления Mobile SMARTS: Магазин 15, МИНИМУМ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83" s="4" t="str">
        <f ca="1">IFERROR(__xludf.DUMMYFUNCTION("""COMPUTED_VALUE"""),"Продление подписки на обновления Mobile SMARTS: Магазин 15, МИНИМУМ для «Штрих-М: Розничная сеть 5.2», для работы с товаром по штрихкодам  на 1 (один) год")</f>
        <v>Продление подписки на обновления Mobile SMARTS: Магазин 15, МИНИМУМ для «Штрих-М: Розничная сеть 5.2», для работы с товаром по штрихкодам  на 1 (один) год</v>
      </c>
      <c r="F383" s="5">
        <f ca="1">IFERROR(__xludf.DUMMYFUNCTION("""COMPUTED_VALUE"""),690)</f>
        <v>690</v>
      </c>
    </row>
    <row r="384" spans="1:6" ht="72" customHeight="1" x14ac:dyDescent="0.2">
      <c r="A384" s="4" t="str">
        <f ca="1">IFERROR(__xludf.DUMMYFUNCTION("""COMPUTED_VALUE"""),"«Штрих-М: Розничная сеть 5.2»")</f>
        <v>«Штрих-М: Розничная сеть 5.2»</v>
      </c>
      <c r="B384" s="4" t="str">
        <f ca="1">IFERROR(__xludf.DUMMYFUNCTION("""COMPUTED_VALUE"""),"БАЗОВЫЙ")</f>
        <v>БАЗОВЫЙ</v>
      </c>
      <c r="C384" s="4" t="str">
        <f ca="1">IFERROR(__xludf.DUMMYFUNCTION("""COMPUTED_VALUE"""),"SSY1-RTL15A-SHMSTOREC52")</f>
        <v>SSY1-RTL15A-SHMSTOREC52</v>
      </c>
      <c r="D384" s="4" t="str">
        <f ca="1">IFERROR(__xludf.DUMMYFUNCTION("""COMPUTED_VALUE"""),"Продление подписки на обновления Mobile SMARTS: Магазин 15, БАЗОВЫЙ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инвентар"&amp;"изация,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"&amp;"экране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«Штрих-М: Розничная сеть 5.2»,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4" s="4" t="str">
        <f ca="1">IFERROR(__xludf.DUMMYFUNCTION("""COMPUTED_VALUE"""),"Продление подписки на обновления Mobile SMARTS: Магазин 15, БАЗОВЫЙ для «Штрих-М: Розничная сеть 5.2», для работы с товаром по штрихкодам  на 1 (один) год")</f>
        <v>Продление подписки на обновления Mobile SMARTS: Магазин 15, БАЗОВЫЙ для «Штрих-М: Розничная сеть 5.2», для работы с товаром по штрихкодам  на 1 (один) год</v>
      </c>
      <c r="F384" s="5">
        <f ca="1">IFERROR(__xludf.DUMMYFUNCTION("""COMPUTED_VALUE"""),1730)</f>
        <v>1730</v>
      </c>
    </row>
    <row r="385" spans="1:6" ht="72" customHeight="1" x14ac:dyDescent="0.2">
      <c r="A385" s="4" t="str">
        <f ca="1">IFERROR(__xludf.DUMMYFUNCTION("""COMPUTED_VALUE"""),"«Штрих-М: Розничная сеть 5.2»")</f>
        <v>«Штрих-М: Розничная сеть 5.2»</v>
      </c>
      <c r="B385" s="4" t="str">
        <f ca="1">IFERROR(__xludf.DUMMYFUNCTION("""COMPUTED_VALUE"""),"РАСШИРЕННЫЙ")</f>
        <v>РАСШИРЕННЫЙ</v>
      </c>
      <c r="C385" s="4" t="str">
        <f ca="1">IFERROR(__xludf.DUMMYFUNCTION("""COMPUTED_VALUE"""),"SSY1-RTL15B-SHMSTOREC52")</f>
        <v>SSY1-RTL15B-SHMSTOREC52</v>
      </c>
      <c r="D385" s="4" t="str">
        <f ca="1">IFERROR(__xludf.DUMMYFUNCTION("""COMPUTED_VALUE"""),"Продление подписки на обновления Mobile SMARTS: Магазин 15, РАСШИРЕННЫЙ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инве"&amp;"нтаризация,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ценах"&amp;"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5" s="4" t="str">
        <f ca="1">IFERROR(__xludf.DUMMYFUNCTION("""COMPUTED_VALUE"""),"Продление подписки на обновления Mobile SMARTS: Магазин 15, РАСШИРЕННЫЙ для «Штрих-М: Розничная сеть 5.2», для работы с товаром по штрихкодам  на 1 (один) год")</f>
        <v>Продление подписки на обновления Mobile SMARTS: Магазин 15, РАСШИРЕННЫЙ для «Штрих-М: Розничная сеть 5.2», для работы с товаром по штрихкодам  на 1 (один) год</v>
      </c>
      <c r="F385" s="5">
        <f ca="1">IFERROR(__xludf.DUMMYFUNCTION("""COMPUTED_VALUE"""),3010)</f>
        <v>3010</v>
      </c>
    </row>
    <row r="386" spans="1:6" ht="72" customHeight="1" x14ac:dyDescent="0.2">
      <c r="A386" s="4" t="str">
        <f ca="1">IFERROR(__xludf.DUMMYFUNCTION("""COMPUTED_VALUE"""),"«Штрих-М: Розничная сеть 5.2»")</f>
        <v>«Штрих-М: Розничная сеть 5.2»</v>
      </c>
      <c r="B386" s="4" t="str">
        <f ca="1">IFERROR(__xludf.DUMMYFUNCTION("""COMPUTED_VALUE"""),"МЕГАМАРКЕТ")</f>
        <v>МЕГАМАРКЕТ</v>
      </c>
      <c r="C386" s="4" t="str">
        <f ca="1">IFERROR(__xludf.DUMMYFUNCTION("""COMPUTED_VALUE"""),"SSY1-RTL15C-SHMSTOREC52")</f>
        <v>SSY1-RTL15C-SHMSTOREC52</v>
      </c>
      <c r="D386" s="4" t="str">
        <f ca="1">IFERROR(__xludf.DUMMYFUNCTION("""COMPUTED_VALUE"""),"Продление подписки на обновления Mobile SMARTS: Магазин 15, МЕГАМАРКЕТ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инвен"&amp;"таризация,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контрагент"&amp;"ах,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«Штрих-М: Розничная сеть 5.2»,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6" s="4" t="str">
        <f ca="1">IFERROR(__xludf.DUMMYFUNCTION("""COMPUTED_VALUE"""),"Продление подписки на обновления Mobile SMARTS: Магазин 15, МЕГАМАРКЕТ для «Штрих-М: Розничная сеть 5.2», для работы с товаром по штрихкодам  на 1 (один) год")</f>
        <v>Продление подписки на обновления Mobile SMARTS: Магазин 15, МЕГАМАРКЕТ для «Штрих-М: Розничная сеть 5.2», для работы с товаром по штрихкодам  на 1 (один) год</v>
      </c>
      <c r="F386" s="5">
        <f ca="1">IFERROR(__xludf.DUMMYFUNCTION("""COMPUTED_VALUE"""),4310)</f>
        <v>4310</v>
      </c>
    </row>
    <row r="387" spans="1:6" ht="72" customHeight="1" x14ac:dyDescent="0.2">
      <c r="A387" s="4" t="str">
        <f ca="1">IFERROR(__xludf.DUMMYFUNCTION("""COMPUTED_VALUE"""),"«Штрих-М: Розничная сеть 5.2»")</f>
        <v>«Штрих-М: Розничная сеть 5.2»</v>
      </c>
      <c r="B387" s="4" t="str">
        <f ca="1">IFERROR(__xludf.DUMMYFUNCTION("""COMPUTED_VALUE"""),"с ЕГАИС, БАЗОВЫЙ")</f>
        <v>с ЕГАИС, БАЗОВЫЙ</v>
      </c>
      <c r="C387" s="4" t="str">
        <f ca="1">IFERROR(__xludf.DUMMYFUNCTION("""COMPUTED_VALUE"""),"SSY1-RTL15AE-SHMSTOREC52")</f>
        <v>SSY1-RTL15AE-SHMSTOREC52</v>
      </c>
      <c r="D387" s="4" t="str">
        <f ca="1">IFERROR(__xludf.DUMMYFUNCTION("""COMPUTED_VALUE"""),"Продление подписки на обновления Mobile SMARTS: Магазин 15 с ЕГАИС, БАЗОВЫЙ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нет онла"&amp;"йна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н"&amp;"а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Интернет"&amp;" на 1 (один) год")</f>
        <v>Продление подписки на обновления Mobile SMARTS: Магазин 15 с ЕГАИС, БАЗОВЫЙ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387" s="4" t="str">
        <f ca="1">IFERROR(__xludf.DUMMYFUNCTION("""COMPUTED_VALUE"""),"Продление подписки на обновления Mobile SMARTS: Магазин 15 с ЕГАИС, БАЗОВЫЙ для «Штрих-М: Розничная сеть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«Штрих-М: Розничная сеть 5.2», для работы с маркированным товаром: алкоголь ЕГАИС и товары по штрихкодам  на 1 (один) год</v>
      </c>
      <c r="F387" s="5">
        <f ca="1">IFERROR(__xludf.DUMMYFUNCTION("""COMPUTED_VALUE"""),2200)</f>
        <v>2200</v>
      </c>
    </row>
    <row r="388" spans="1:6" ht="72" customHeight="1" x14ac:dyDescent="0.2">
      <c r="A388" s="4" t="str">
        <f ca="1">IFERROR(__xludf.DUMMYFUNCTION("""COMPUTED_VALUE"""),"«Штрих-М: Розничная сеть 5.2»")</f>
        <v>«Штрих-М: Розничная сеть 5.2»</v>
      </c>
      <c r="B388" s="4" t="str">
        <f ca="1">IFERROR(__xludf.DUMMYFUNCTION("""COMPUTED_VALUE"""),"с ЕГАИС, РАСШИРЕННЫЙ")</f>
        <v>с ЕГАИС, РАСШИРЕННЫЙ</v>
      </c>
      <c r="C388" s="4" t="str">
        <f ca="1">IFERROR(__xludf.DUMMYFUNCTION("""COMPUTED_VALUE"""),"SSY1-RTL15BE-SHMSTOREC52")</f>
        <v>SSY1-RTL15BE-SHMSTOREC52</v>
      </c>
      <c r="D388" s="4" t="str">
        <f ca="1">IFERROR(__xludf.DUMMYFUNCTION("""COMPUTED_VALUE"""),"Продление подписки на обновления Mobile SMARTS: Магазин 15 с ЕГАИС, РАСШИРЕННЫЙ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есть"&amp;"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печа"&amp;"ть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через"&amp;" Интернет на 1 (один) год")</f>
        <v>Продление подписки на обновления Mobile SMARTS: Магазин 15 с ЕГАИС, РАСШИРЕННЫЙ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8" s="4" t="str">
        <f ca="1">IFERROR(__xludf.DUMMYFUNCTION("""COMPUTED_VALUE"""),"Продление подписки на обновления Mobile SMARTS: Магазин 15 с ЕГАИС, РАСШИРЕННЫЙ для «Штрих-М: Розничная сеть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«Штрих-М: Розничная сеть 5.2», для работы с маркированным товаром: алкоголь ЕГАИС и товары по штрихкодам  на 1 (один) год</v>
      </c>
      <c r="F388" s="5">
        <f ca="1">IFERROR(__xludf.DUMMYFUNCTION("""COMPUTED_VALUE"""),3490)</f>
        <v>3490</v>
      </c>
    </row>
    <row r="389" spans="1:6" ht="72" customHeight="1" x14ac:dyDescent="0.2">
      <c r="A389" s="4" t="str">
        <f ca="1">IFERROR(__xludf.DUMMYFUNCTION("""COMPUTED_VALUE"""),"«Штрих-М: Розничная сеть 5.2»")</f>
        <v>«Штрих-М: Розничная сеть 5.2»</v>
      </c>
      <c r="B389" s="4" t="str">
        <f ca="1">IFERROR(__xludf.DUMMYFUNCTION("""COMPUTED_VALUE"""),"с ЕГАИС (без CheckMark2), МЕГАМАРКЕТ")</f>
        <v>с ЕГАИС (без CheckMark2), МЕГАМАРКЕТ</v>
      </c>
      <c r="C389" s="4" t="str">
        <f ca="1">IFERROR(__xludf.DUMMYFUNCTION("""COMPUTED_VALUE"""),"SSY1-RTL15CEV-SHMSTOREC52")</f>
        <v>SSY1-RTL15CEV-SHMSTOREC52</v>
      </c>
      <c r="D389" s="4" t="str">
        <f ca="1">IFERROR(__xludf.DUMMYFUNCTION("""COMPUTED_VALUE"""),"Продление подписки на обновления 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через"&amp;"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в"&amp;"озможности: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"&amp;"подписка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89" s="4" t="str">
        <f ca="1">IFERROR(__xludf.DUMMYFUNCTION("""COMPUTED_VALUE"""),"Продление подписки на обновления 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«Штрих-М: Розничная сеть 5.2», для работы с маркированным товаром: алкоголь ЕГАИС и товары по штрихкодам  на 1 (один) год</v>
      </c>
      <c r="F389" s="5">
        <f ca="1">IFERROR(__xludf.DUMMYFUNCTION("""COMPUTED_VALUE"""),4770)</f>
        <v>4770</v>
      </c>
    </row>
    <row r="390" spans="1:6" ht="72" customHeight="1" x14ac:dyDescent="0.2">
      <c r="A390" s="4" t="str">
        <f ca="1">IFERROR(__xludf.DUMMYFUNCTION("""COMPUTED_VALUE"""),"«Штрих-М: Розничная сеть 5.2»")</f>
        <v>«Штрих-М: Розничная сеть 5.2»</v>
      </c>
      <c r="B390" s="4" t="str">
        <f ca="1">IFERROR(__xludf.DUMMYFUNCTION("""COMPUTED_VALUE"""),"с МОТП, БАЗОВЫЙ")</f>
        <v>с МОТП, БАЗОВЫЙ</v>
      </c>
      <c r="C390" s="4" t="str">
        <f ca="1">IFERROR(__xludf.DUMMYFUNCTION("""COMPUTED_VALUE"""),"SSY1-RTL15AT-SHMSTOREC52")</f>
        <v>SSY1-RTL15AT-SHMSTOREC52</v>
      </c>
      <c r="D390" s="4" t="str">
        <f ca="1">IFERROR(__xludf.DUMMYFUNCTION("""COMPUTED_VALUE"""),"Продление подписки на обновления Mobile SMARTS: Магазин 15 с МОТП, БАЗОВЫЙ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нет онлайна / дост"&amp;"упные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QR-кодо"&amp;"в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Интерне"&amp;"т на 1 (один) год")</f>
        <v>Продление подписки на обновления Mobile SMARTS: Магазин 15 с МОТП, БАЗОВЫЙ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0" s="4" t="str">
        <f ca="1">IFERROR(__xludf.DUMMYFUNCTION("""COMPUTED_VALUE"""),"Продление подписки на обновления Mobile SMARTS: Магазин 15 с МОТП, БАЗОВЫЙ для «Штрих-М: Розничная сеть 5.2»,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«Штрих-М: Розничная сеть 5.2», для работы с маркированным товаром: ТАБАК и товары по штрихкодам  на 1 (один) год</v>
      </c>
      <c r="F390" s="5">
        <f ca="1">IFERROR(__xludf.DUMMYFUNCTION("""COMPUTED_VALUE"""),2230)</f>
        <v>2230</v>
      </c>
    </row>
    <row r="391" spans="1:6" ht="72" customHeight="1" x14ac:dyDescent="0.2">
      <c r="A391" s="4" t="str">
        <f ca="1">IFERROR(__xludf.DUMMYFUNCTION("""COMPUTED_VALUE"""),"«Штрих-М: Розничная сеть 5.2»")</f>
        <v>«Штрих-М: Розничная сеть 5.2»</v>
      </c>
      <c r="B391" s="4" t="str">
        <f ca="1">IFERROR(__xludf.DUMMYFUNCTION("""COMPUTED_VALUE"""),"с МОТП, РАСШИРЕННЫЙ")</f>
        <v>с МОТП, РАСШИРЕННЫЙ</v>
      </c>
      <c r="C391" s="4" t="str">
        <f ca="1">IFERROR(__xludf.DUMMYFUNCTION("""COMPUTED_VALUE"""),"SSY1-RTL15BT-SHMSTOREC52")</f>
        <v>SSY1-RTL15BT-SHMSTOREC52</v>
      </c>
      <c r="D391" s="4" t="str">
        <f ca="1">IFERROR(__xludf.DUMMYFUNCTION("""COMPUTED_VALUE"""),"Продление подписки на обновления Mobile SMARTS: Магазин 15 с МОТП, РАСШИРЕННЫЙ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"&amp;"доступные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QR-"&amp;"кодов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Продление подписки на обновления Mobile SMARTS: Магазин 15 с МОТП, РАСШИРЕННЫЙ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1" s="4" t="str">
        <f ca="1">IFERROR(__xludf.DUMMYFUNCTION("""COMPUTED_VALUE"""),"Продление подписки на обновления Mobile SMARTS: Магазин 15 с МОТП, РАСШИРЕННЫЙ для «Штрих-М: Розничная сеть 5.2»,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«Штрих-М: Розничная сеть 5.2», для работы с маркированным товаром: ТАБАК и товары по штрихкодам  на 1 (один) год</v>
      </c>
      <c r="F391" s="5">
        <f ca="1">IFERROR(__xludf.DUMMYFUNCTION("""COMPUTED_VALUE"""),3490)</f>
        <v>3490</v>
      </c>
    </row>
    <row r="392" spans="1:6" ht="72" customHeight="1" x14ac:dyDescent="0.2">
      <c r="A392" s="4" t="str">
        <f ca="1">IFERROR(__xludf.DUMMYFUNCTION("""COMPUTED_VALUE"""),"«Штрих-М: Розничная сеть 5.2»")</f>
        <v>«Штрих-М: Розничная сеть 5.2»</v>
      </c>
      <c r="B392" s="4" t="str">
        <f ca="1">IFERROR(__xludf.DUMMYFUNCTION("""COMPUTED_VALUE"""),"с МОТП, МЕГАМАРКЕТ")</f>
        <v>с МОТП, МЕГАМАРКЕТ</v>
      </c>
      <c r="C392" s="4" t="str">
        <f ca="1">IFERROR(__xludf.DUMMYFUNCTION("""COMPUTED_VALUE"""),"SSY1-RTL15CT-SHMSTOREC52")</f>
        <v>SSY1-RTL15CT-SHMSTOREC52</v>
      </c>
      <c r="D392" s="4" t="str">
        <f ca="1">IFERROR(__xludf.DUMMYFUNCTION("""COMPUTED_VALUE"""),"Продление подписки на обновления Mobile SMARTS: Магазин 15 с МОТП, МЕГАМАРКЕТ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д"&amp;"оступные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QR-к"&amp;"одов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обновлен"&amp;"ия и обмен через Интернет на 1 (один) год")</f>
        <v>Продление подписки на обновления Mobile SMARTS: Магазин 15 с МОТП, МЕГАМАРКЕТ для «Штрих-М: Розничная сеть 5.2»,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2" s="4" t="str">
        <f ca="1">IFERROR(__xludf.DUMMYFUNCTION("""COMPUTED_VALUE"""),"Продление подписки на обновления Mobile SMARTS: Магазин 15 с МОТП, МЕГАМАРКЕТ для «Штрих-М: Розничная сеть 5.2»,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«Штрих-М: Розничная сеть 5.2», для работы с маркированным товаром: ТАБАК и товары по штрихкодам  на 1 (один) год</v>
      </c>
      <c r="F392" s="5">
        <f ca="1">IFERROR(__xludf.DUMMYFUNCTION("""COMPUTED_VALUE"""),4770)</f>
        <v>4770</v>
      </c>
    </row>
    <row r="393" spans="1:6" ht="72" customHeight="1" x14ac:dyDescent="0.2">
      <c r="A393" s="4" t="str">
        <f ca="1">IFERROR(__xludf.DUMMYFUNCTION("""COMPUTED_VALUE"""),"«Штрих-М: Розничная сеть 5.2»")</f>
        <v>«Штрих-М: Розничная сеть 5.2»</v>
      </c>
      <c r="B393" s="4" t="str">
        <f ca="1">IFERROR(__xludf.DUMMYFUNCTION("""COMPUTED_VALUE"""),"с ЕГАИС и МОТП, БАЗОВЫЙ")</f>
        <v>с ЕГАИС и МОТП, БАЗОВЫЙ</v>
      </c>
      <c r="C393" s="4" t="str">
        <f ca="1">IFERROR(__xludf.DUMMYFUNCTION("""COMPUTED_VALUE"""),"SSY1-RTL15AET-SHMSTOREC52")</f>
        <v>SSY1-RTL15AET-SHMSTOREC52</v>
      </c>
      <c r="D393" s="4" t="str">
        <f ca="1">IFERROR(__xludf.DUMMYFUNCTION("""COMPUTED_VALUE"""),"Продление подписки на обновления Mobile SMARTS: Магазин 15 с ЕГАИС и МОТП, БАЗОВЫЙ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"&amp;"нет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"&amp;"по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измене"&amp;"ние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3" s="4" t="str">
        <f ca="1">IFERROR(__xludf.DUMMYFUNCTION("""COMPUTED_VALUE"""),"Продление подписки на обновления Mobile SMARTS: Магазин 15 с ЕГАИС и МОТП, БАЗОВЫЙ для «Штрих-М: Розничная сеть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«Штрих-М: Розничная сеть 5.2», для работы с маркированным товаром: АЛКОГОЛЬ, ТАБАК и товары по штрихкодам  на 1 (один) год</v>
      </c>
      <c r="F393" s="5">
        <f ca="1">IFERROR(__xludf.DUMMYFUNCTION("""COMPUTED_VALUE"""),2430)</f>
        <v>2430</v>
      </c>
    </row>
    <row r="394" spans="1:6" ht="72" customHeight="1" x14ac:dyDescent="0.2">
      <c r="A394" s="4" t="str">
        <f ca="1">IFERROR(__xludf.DUMMYFUNCTION("""COMPUTED_VALUE"""),"«Штрих-М: Розничная сеть 5.2»")</f>
        <v>«Штрих-М: Розничная сеть 5.2»</v>
      </c>
      <c r="B394" s="4" t="str">
        <f ca="1">IFERROR(__xludf.DUMMYFUNCTION("""COMPUTED_VALUE"""),"с ЕГАИС и МОТП, РАСШИРЕННЫЙ")</f>
        <v>с ЕГАИС и МОТП, РАСШИРЕННЫЙ</v>
      </c>
      <c r="C394" s="4" t="str">
        <f ca="1">IFERROR(__xludf.DUMMYFUNCTION("""COMPUTED_VALUE"""),"SSY1-RTL15BET-SHMSTOREC52")</f>
        <v>SSY1-RTL15BET-SHMSTOREC52</v>
      </c>
      <c r="D394" s="4" t="str">
        <f ca="1">IFERROR(__xludf.DUMMYFUNCTION("""COMPUTED_VALUE"""),"Продление подписки на обновления Mobile SMARTS: Магазин 15 с ЕГАИС и МОТП, РАСШИРЕННЫЙ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Интерне"&amp;"т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отгру"&amp;"зка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из"&amp;"менение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4" s="4" t="str">
        <f ca="1">IFERROR(__xludf.DUMMYFUNCTION("""COMPUTED_VALUE"""),"Продление подписки на обновления Mobile SMARTS: Магазин 15 с ЕГАИС и МОТП, РАСШИРЕННЫЙ для «Штрих-М: Розничная сеть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«Штрих-М: Розничная сеть 5.2», для работы с маркированным товаром: АЛКОГОЛЬ, ТАБАК и товары по штрихкодам  на 1 (один) год</v>
      </c>
      <c r="F394" s="5">
        <f ca="1">IFERROR(__xludf.DUMMYFUNCTION("""COMPUTED_VALUE"""),3710)</f>
        <v>3710</v>
      </c>
    </row>
    <row r="395" spans="1:6" ht="72" customHeight="1" x14ac:dyDescent="0.2">
      <c r="A395" s="4" t="str">
        <f ca="1">IFERROR(__xludf.DUMMYFUNCTION("""COMPUTED_VALUE"""),"«Штрих-М: Розничная сеть 5.2»")</f>
        <v>«Штрих-М: Розничная сеть 5.2»</v>
      </c>
      <c r="B395" s="4" t="str">
        <f ca="1">IFERROR(__xludf.DUMMYFUNCTION("""COMPUTED_VALUE"""),"с ЕГАИС и МОТП, МЕГАМАРКЕТ")</f>
        <v>с ЕГАИС и МОТП, МЕГАМАРКЕТ</v>
      </c>
      <c r="C395" s="4" t="str">
        <f ca="1">IFERROR(__xludf.DUMMYFUNCTION("""COMPUTED_VALUE"""),"SSY1-RTL15CET-SHMSTOREC52")</f>
        <v>SSY1-RTL15CET-SHMSTOREC52</v>
      </c>
      <c r="D395" s="4" t="str">
        <f ca="1">IFERROR(__xludf.DUMMYFUNCTION("""COMPUTED_VALUE"""),"Продление подписки на обновления Mobile SMARTS: Магазин 15 с ЕГАИС и МОТП, МЕГАМАРКЕТ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Интернет"&amp;"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отгруз"&amp;"ка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"&amp;"ценах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«Штрих-М: Розничная сеть 5.2»,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5" s="4" t="str">
        <f ca="1">IFERROR(__xludf.DUMMYFUNCTION("""COMPUTED_VALUE"""),"Продление подписки на обновления Mobile SMARTS: Магазин 15 с ЕГАИС и МОТП, МЕГАМАРКЕТ для «Штрих-М: Розничная сеть 5.2»,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«Штрих-М: Розничная сеть 5.2», для работы с маркированным товаром: АЛКОГОЛЬ, ТАБАК и товары по штрихкодам  на 1 (один) год</v>
      </c>
      <c r="F395" s="5">
        <f ca="1">IFERROR(__xludf.DUMMYFUNCTION("""COMPUTED_VALUE"""),5270)</f>
        <v>5270</v>
      </c>
    </row>
    <row r="396" spans="1:6" ht="72" customHeight="1" x14ac:dyDescent="0.2">
      <c r="A396" s="4" t="str">
        <f ca="1">IFERROR(__xludf.DUMMYFUNCTION("""COMPUTED_VALUE"""),"«Штрих-М: Розничная сеть 5.2»")</f>
        <v>«Штрих-М: Розничная сеть 5.2»</v>
      </c>
      <c r="B396" s="4" t="str">
        <f ca="1">IFERROR(__xludf.DUMMYFUNCTION("""COMPUTED_VALUE"""),"ШМОТКИ, БАЗОВЫЙ")</f>
        <v>ШМОТКИ, БАЗОВЫЙ</v>
      </c>
      <c r="C396" s="4" t="str">
        <f ca="1">IFERROR(__xludf.DUMMYFUNCTION("""COMPUTED_VALUE"""),"SSY1-RTL15AK-SHMSTOREC52")</f>
        <v>SSY1-RTL15AK-SHMSTOREC52</v>
      </c>
      <c r="D396" s="4" t="str">
        <f ca="1">IFERROR(__xludf.DUMMYFUNCTION("""COMPUTED_VALUE"""),"Продление подписки на обновления Mobile SMARTS: Магазин 15 ШМОТКИ, БАЗОВЫЙ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Интерне"&amp;"т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настр"&amp;"ойки,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обновления"&amp;" и обмен через Интернет на 1 (один) год")</f>
        <v>Продление подписки на обновления Mobile SMARTS: Магазин 15 ШМОТКИ, БАЗОВЫЙ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6" s="4" t="str">
        <f ca="1">IFERROR(__xludf.DUMMYFUNCTION("""COMPUTED_VALUE"""),"Продление подписки на обновления Mobile SMARTS: Магазин 15 ШМОТКИ, БАЗОВЫЙ для «Штрих-М: Розничная сеть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«Штрих-М: Розничная сеть 5.2», для работы с маркированным товаром: ОБУВЬ, ОДЕЖДА, ПАРФЮМ, ШИНЫ и товары по штрихкодам  на 1 (один) год</v>
      </c>
      <c r="F396" s="5">
        <f ca="1">IFERROR(__xludf.DUMMYFUNCTION("""COMPUTED_VALUE"""),2430)</f>
        <v>2430</v>
      </c>
    </row>
    <row r="397" spans="1:6" ht="72" customHeight="1" x14ac:dyDescent="0.2">
      <c r="A397" s="4" t="str">
        <f ca="1">IFERROR(__xludf.DUMMYFUNCTION("""COMPUTED_VALUE"""),"«Штрих-М: Розничная сеть 5.2»")</f>
        <v>«Штрих-М: Розничная сеть 5.2»</v>
      </c>
      <c r="B397" s="4" t="str">
        <f ca="1">IFERROR(__xludf.DUMMYFUNCTION("""COMPUTED_VALUE"""),"ШМОТКИ, РАСШИРЕННЫЙ")</f>
        <v>ШМОТКИ, РАСШИРЕННЫЙ</v>
      </c>
      <c r="C397" s="4" t="str">
        <f ca="1">IFERROR(__xludf.DUMMYFUNCTION("""COMPUTED_VALUE"""),"SSY1-RTL15BK-SHMSTOREC52")</f>
        <v>SSY1-RTL15BK-SHMSTOREC52</v>
      </c>
      <c r="D397" s="4" t="str">
        <f ca="1">IFERROR(__xludf.DUMMYFUNCTION("""COMPUTED_VALUE"""),"Продление подписки на обновления 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Инт"&amp;"ернет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н"&amp;"астройки,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Продление подписки на обновления 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7" s="4" t="str">
        <f ca="1">IFERROR(__xludf.DUMMYFUNCTION("""COMPUTED_VALUE"""),"Продление подписки на обновления 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«Штрих-М: Розничная сеть 5.2», для работы с маркированным товаром: ОБУВЬ, ОДЕЖДА, ПАРФЮМ, ШИНЫ и товары по штрихкодам  на 1 (один) год</v>
      </c>
      <c r="F397" s="5">
        <f ca="1">IFERROR(__xludf.DUMMYFUNCTION("""COMPUTED_VALUE"""),3710)</f>
        <v>3710</v>
      </c>
    </row>
    <row r="398" spans="1:6" ht="72" customHeight="1" x14ac:dyDescent="0.2">
      <c r="A398" s="4" t="str">
        <f ca="1">IFERROR(__xludf.DUMMYFUNCTION("""COMPUTED_VALUE"""),"«Штрих-М: Розничная сеть 5.2»")</f>
        <v>«Штрих-М: Розничная сеть 5.2»</v>
      </c>
      <c r="B398" s="4" t="str">
        <f ca="1">IFERROR(__xludf.DUMMYFUNCTION("""COMPUTED_VALUE"""),"ШМОТКИ, МЕГАМАРКЕТ")</f>
        <v>ШМОТКИ, МЕГАМАРКЕТ</v>
      </c>
      <c r="C398" s="4" t="str">
        <f ca="1">IFERROR(__xludf.DUMMYFUNCTION("""COMPUTED_VALUE"""),"SSY1-RTL15CK-SHMSTOREC52")</f>
        <v>SSY1-RTL15CK-SHMSTOREC52</v>
      </c>
      <c r="D398" s="4" t="str">
        <f ca="1">IFERROR(__xludf.DUMMYFUNCTION("""COMPUTED_VALUE"""),"Продление подписки на обновления 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Инте"&amp;"рнет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на"&amp;"стройки,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устройство"&amp;", подписка на обновления и обмен через Интернет на 1 (один) год")</f>
        <v>Продление подписки на обновления 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8" s="4" t="str">
        <f ca="1">IFERROR(__xludf.DUMMYFUNCTION("""COMPUTED_VALUE"""),"Продление подписки на обновления 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«Штрих-М: Розничная сеть 5.2», для работы с маркированным товаром: ОБУВЬ, ОДЕЖДА, ПАРФЮМ, ШИНЫ и товары по штрихкодам  на 1 (один) год</v>
      </c>
      <c r="F398" s="5">
        <f ca="1">IFERROR(__xludf.DUMMYFUNCTION("""COMPUTED_VALUE"""),5270)</f>
        <v>5270</v>
      </c>
    </row>
    <row r="399" spans="1:6" ht="72" customHeight="1" x14ac:dyDescent="0.2">
      <c r="A399" s="4" t="str">
        <f ca="1">IFERROR(__xludf.DUMMYFUNCTION("""COMPUTED_VALUE"""),"«Штрих-М: Розничная сеть 5.2»")</f>
        <v>«Штрих-М: Розничная сеть 5.2»</v>
      </c>
      <c r="B399" s="4" t="str">
        <f ca="1">IFERROR(__xludf.DUMMYFUNCTION("""COMPUTED_VALUE"""),"ПРОДУКТОВЫЙ, БАЗОВЫЙ")</f>
        <v>ПРОДУКТОВЫЙ, БАЗОВЫЙ</v>
      </c>
      <c r="C399" s="4" t="str">
        <f ca="1">IFERROR(__xludf.DUMMYFUNCTION("""COMPUTED_VALUE"""),"SSY1-RTL15AG-SHMSTOREC52")</f>
        <v>SSY1-RTL15AG-SHMSTOREC52</v>
      </c>
      <c r="D399" s="4" t="str">
        <f ca="1">IFERROR(__xludf.DUMMYFUNCTION("""COMPUTED_VALUE"""),"Продление подписки на обновления 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провод"&amp;"ной,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списа"&amp;"ние,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конт"&amp;"рагентах,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399" s="4" t="str">
        <f ca="1">IFERROR(__xludf.DUMMYFUNCTION("""COMPUTED_VALUE"""),"Продление подписки на обновления 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БАЗОВЫЙ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399" s="5">
        <f ca="1">IFERROR(__xludf.DUMMYFUNCTION("""COMPUTED_VALUE"""),2910)</f>
        <v>2910</v>
      </c>
    </row>
    <row r="400" spans="1:6" ht="72" customHeight="1" x14ac:dyDescent="0.2">
      <c r="A400" s="4" t="str">
        <f ca="1">IFERROR(__xludf.DUMMYFUNCTION("""COMPUTED_VALUE"""),"«Штрих-М: Розничная сеть 5.2»")</f>
        <v>«Штрих-М: Розничная сеть 5.2»</v>
      </c>
      <c r="B400" s="4" t="str">
        <f ca="1">IFERROR(__xludf.DUMMYFUNCTION("""COMPUTED_VALUE"""),"ПРОДУКТОВЫЙ, РАСШИРЕННЫЙ")</f>
        <v>ПРОДУКТОВЫЙ, РАСШИРЕННЫЙ</v>
      </c>
      <c r="C400" s="4" t="str">
        <f ca="1">IFERROR(__xludf.DUMMYFUNCTION("""COMPUTED_VALUE"""),"SSY1-RTL15BG-SHMSTOREC52")</f>
        <v>SSY1-RTL15BG-SHMSTOREC52</v>
      </c>
      <c r="D400" s="4" t="str">
        <f ca="1">IFERROR(__xludf.DUMMYFUNCTION("""COMPUTED_VALUE"""),"Продление подписки на обновления 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пр"&amp;"оводной,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с"&amp;"писание,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"&amp;"контрагентах,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0" s="4" t="str">
        <f ca="1">IFERROR(__xludf.DUMMYFUNCTION("""COMPUTED_VALUE"""),"Продление подписки на обновления 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 на 1 (один) "&amp;"год")</f>
        <v>Продление подписки на обновления Mobile SMARTS: Магазин 15 ПРОДУКТОВЫЙ, РАСШИРЕННЫЙ для «Штрих-М: Розничная сеть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400" s="5">
        <f ca="1">IFERROR(__xludf.DUMMYFUNCTION("""COMPUTED_VALUE"""),4190)</f>
        <v>4190</v>
      </c>
    </row>
    <row r="401" spans="1:6" ht="72" customHeight="1" x14ac:dyDescent="0.2">
      <c r="A401" s="4" t="str">
        <f ca="1">IFERROR(__xludf.DUMMYFUNCTION("""COMPUTED_VALUE"""),"«Штрих-М: Розничная сеть 5.2»")</f>
        <v>«Штрих-М: Розничная сеть 5.2»</v>
      </c>
      <c r="B401" s="4" t="str">
        <f ca="1">IFERROR(__xludf.DUMMYFUNCTION("""COMPUTED_VALUE"""),"ПРОДУКТОВЫЙ, МЕГАМАРКЕТ")</f>
        <v>ПРОДУКТОВЫЙ, МЕГАМАРКЕТ</v>
      </c>
      <c r="C401" s="4" t="str">
        <f ca="1">IFERROR(__xludf.DUMMYFUNCTION("""COMPUTED_VALUE"""),"SSY1-RTL15CG-SHMSTOREC52")</f>
        <v>SSY1-RTL15CG-SHMSTOREC52</v>
      </c>
      <c r="D401" s="4" t="str">
        <f ca="1">IFERROR(__xludf.DUMMYFUNCTION("""COMPUTED_VALUE"""),"Продление подписки на обновления 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про"&amp;"водной,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сп"&amp;"исание,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информация"&amp;"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1" s="4" t="str">
        <f ca="1">IFERROR(__xludf.DUMMYFUNCTION("""COMPUTED_VALUE"""),"Продление подписки на обновления 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 на 1 (один) г"&amp;"од")</f>
        <v>Продление подписки на обновления Mobile SMARTS: Магазин 15 ПРОДУКТОВЫЙ, МЕГАМАРКЕТ для «Штрих-М: Розничная сеть 5.2», для работы с маркированным товаром: АЛКОГОЛЬ, ПИВО, ТАБАК, МОЛОКО, ВОДА, ОДЕЖДА, ОБУВЬ, ДУХИ, ШИНЫ и товаром по штрихкодам  на 1 (один) год</v>
      </c>
      <c r="F401" s="5">
        <f ca="1">IFERROR(__xludf.DUMMYFUNCTION("""COMPUTED_VALUE"""),5650)</f>
        <v>5650</v>
      </c>
    </row>
    <row r="402" spans="1:6" ht="72" customHeight="1" x14ac:dyDescent="0.2">
      <c r="A402" s="4"/>
      <c r="B402" s="4"/>
      <c r="C402" s="4" t="str">
        <f ca="1">IFERROR(__xludf.DUMMYFUNCTION("""COMPUTED_VALUE"""),"SSY1-")</f>
        <v>SSY1-</v>
      </c>
      <c r="D402" s="4" t="str">
        <f ca="1">IFERROR(__xludf.DUMMYFUNCTION("""COMPUTED_VALUE"""),"Продление подписки на обновления Лицензии для «Далион» стандартные")</f>
        <v>Продление подписки на обновления Лицензии для «Далион» стандартные</v>
      </c>
      <c r="E402" s="4" t="str">
        <f ca="1">IFERROR(__xludf.DUMMYFUNCTION("""COMPUTED_VALUE"""),"#VALUE!")</f>
        <v>#VALUE!</v>
      </c>
      <c r="F402" s="4" t="str">
        <f ca="1">IFERROR(__xludf.DUMMYFUNCTION("""COMPUTED_VALUE"""),"#N/A")</f>
        <v>#N/A</v>
      </c>
    </row>
    <row r="403" spans="1:6" ht="72" customHeight="1" x14ac:dyDescent="0.2">
      <c r="A403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3" s="4" t="str">
        <f ca="1">IFERROR(__xludf.DUMMYFUNCTION("""COMPUTED_VALUE"""),"МИНИМУМ")</f>
        <v>МИНИМУМ</v>
      </c>
      <c r="C403" s="4" t="str">
        <f ca="1">IFERROR(__xludf.DUMMYFUNCTION("""COMPUTED_VALUE"""),"SSY1-RTL15M-DALION")</f>
        <v>SSY1-RTL15M-DALION</v>
      </c>
      <c r="D403" s="4" t="str">
        <f ca="1">IFERROR(__xludf.DUMMYFUNCTION("""COMPUTED_VALUE"""),"Продление подписки на обновления Mobile SMARTS: Магазин 15, МИНИМУМ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сбо"&amp;"р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"&amp;"на обновления и обмен через Интернет на 1 (один) год")</f>
        <v>Продление подписки на обновления Mobile SMARTS: Магазин 15, МИНИМУМ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03" s="4" t="str">
        <f ca="1">IFERROR(__xludf.DUMMYFUNCTION("""COMPUTED_VALUE"""),"Продление подписки на обновления Mobile SMARTS: Магазин 15, МИНИМУМ для «ДАЛИОН: Управление магазином 1.2» ПРО/УНО/СЕТЬ, для работы с товаром по штрихкодам  на 1 (один) год")</f>
        <v>Продление подписки на обновления Mobile SMARTS: Магазин 15, МИНИМУМ для «ДАЛИОН: Управление магазином 1.2» ПРО/УНО/СЕТЬ, для работы с товаром по штрихкодам  на 1 (один) год</v>
      </c>
      <c r="F403" s="5">
        <f ca="1">IFERROR(__xludf.DUMMYFUNCTION("""COMPUTED_VALUE"""),690)</f>
        <v>690</v>
      </c>
    </row>
    <row r="404" spans="1:6" ht="72" customHeight="1" x14ac:dyDescent="0.2">
      <c r="A404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4" s="4" t="str">
        <f ca="1">IFERROR(__xludf.DUMMYFUNCTION("""COMPUTED_VALUE"""),"БАЗОВЫЙ")</f>
        <v>БАЗОВЫЙ</v>
      </c>
      <c r="C404" s="4" t="str">
        <f ca="1">IFERROR(__xludf.DUMMYFUNCTION("""COMPUTED_VALUE"""),"SSY1-RTL15A-DALION")</f>
        <v>SSY1-RTL15A-DALION</v>
      </c>
      <c r="D404" s="4" t="str">
        <f ca="1">IFERROR(__xludf.DUMMYFUNCTION("""COMPUTED_VALUE"""),"Продление подписки на обновления Mobile SMARTS: Магазин 15, БАЗОВЫЙ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пос"&amp;"тупление,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ос"&amp;"татках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«ДАЛИОН: Управление магазином 1.2» ПРО/УНО/СЕТЬ,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4" s="4" t="str">
        <f ca="1">IFERROR(__xludf.DUMMYFUNCTION("""COMPUTED_VALUE"""),"Продление подписки на обновления Mobile SMARTS: Магазин 15, БАЗОВЫЙ для «ДАЛИОН: Управление магазином 1.2» ПРО/УНО/СЕТЬ, для работы с товаром по штрихкодам  на 1 (один) год")</f>
        <v>Продление подписки на обновления Mobile SMARTS: Магазин 15, БАЗОВЫЙ для «ДАЛИОН: Управление магазином 1.2» ПРО/УНО/СЕТЬ, для работы с товаром по штрихкодам  на 1 (один) год</v>
      </c>
      <c r="F404" s="5">
        <f ca="1">IFERROR(__xludf.DUMMYFUNCTION("""COMPUTED_VALUE"""),1730)</f>
        <v>1730</v>
      </c>
    </row>
    <row r="405" spans="1:6" ht="72" customHeight="1" x14ac:dyDescent="0.2">
      <c r="A405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5" s="4" t="str">
        <f ca="1">IFERROR(__xludf.DUMMYFUNCTION("""COMPUTED_VALUE"""),"РАСШИРЕННЫЙ")</f>
        <v>РАСШИРЕННЫЙ</v>
      </c>
      <c r="C405" s="4" t="str">
        <f ca="1">IFERROR(__xludf.DUMMYFUNCTION("""COMPUTED_VALUE"""),"SSY1-RTL15B-DALION")</f>
        <v>SSY1-RTL15B-DALION</v>
      </c>
      <c r="D405" s="4" t="str">
        <f ca="1">IFERROR(__xludf.DUMMYFUNCTION("""COMPUTED_VALUE"""),"Продление подписки на обновления Mobile SMARTS: Магазин 15, РАСШИРЕННЫЙ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операции:"&amp;"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контрагентах"&amp;",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5" s="4" t="str">
        <f ca="1">IFERROR(__xludf.DUMMYFUNCTION("""COMPUTED_VALUE"""),"Продление подписки на обновления Mobile SMARTS: Магазин 15, РАСШИРЕННЫЙ для «ДАЛИОН: Управление магазином 1.2» ПРО/УНО/СЕТЬ, для работы с товаром по штрихкодам  на 1 (один) год")</f>
        <v>Продление подписки на обновления Mobile SMARTS: Магазин 15, РАСШИРЕННЫЙ для «ДАЛИОН: Управление магазином 1.2» ПРО/УНО/СЕТЬ, для работы с товаром по штрихкодам  на 1 (один) год</v>
      </c>
      <c r="F405" s="5">
        <f ca="1">IFERROR(__xludf.DUMMYFUNCTION("""COMPUTED_VALUE"""),3010)</f>
        <v>3010</v>
      </c>
    </row>
    <row r="406" spans="1:6" ht="72" customHeight="1" x14ac:dyDescent="0.2">
      <c r="A406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6" s="4" t="str">
        <f ca="1">IFERROR(__xludf.DUMMYFUNCTION("""COMPUTED_VALUE"""),"МЕГАМАРКЕТ")</f>
        <v>МЕГАМАРКЕТ</v>
      </c>
      <c r="C406" s="4" t="str">
        <f ca="1">IFERROR(__xludf.DUMMYFUNCTION("""COMPUTED_VALUE"""),"SSY1-RTL15C-DALION")</f>
        <v>SSY1-RTL15C-DALION</v>
      </c>
      <c r="D406" s="4" t="str">
        <f ca="1">IFERROR(__xludf.DUMMYFUNCTION("""COMPUTED_VALUE"""),"Продление подписки на обновления Mobile SMARTS: Магазин 15, МЕГАМАРКЕТ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"&amp;"поступление,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с"&amp;"кладах,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«ДАЛИОН: Управление магазином 1.2» ПРО/УНО/СЕТЬ,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6" s="4" t="str">
        <f ca="1">IFERROR(__xludf.DUMMYFUNCTION("""COMPUTED_VALUE"""),"Продление подписки на обновления Mobile SMARTS: Магазин 15, МЕГАМАРКЕТ для «ДАЛИОН: Управление магазином 1.2» ПРО/УНО/СЕТЬ, для работы с товаром по штрихкодам  на 1 (один) год")</f>
        <v>Продление подписки на обновления Mobile SMARTS: Магазин 15, МЕГАМАРКЕТ для «ДАЛИОН: Управление магазином 1.2» ПРО/УНО/СЕТЬ, для работы с товаром по штрихкодам  на 1 (один) год</v>
      </c>
      <c r="F406" s="5">
        <f ca="1">IFERROR(__xludf.DUMMYFUNCTION("""COMPUTED_VALUE"""),4310)</f>
        <v>4310</v>
      </c>
    </row>
    <row r="407" spans="1:6" ht="72" customHeight="1" x14ac:dyDescent="0.2">
      <c r="A407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7" s="4" t="str">
        <f ca="1">IFERROR(__xludf.DUMMYFUNCTION("""COMPUTED_VALUE"""),"с ЕГАИС, БАЗОВЫЙ")</f>
        <v>с ЕГАИС, БАЗОВЫЙ</v>
      </c>
      <c r="C407" s="4" t="str">
        <f ca="1">IFERROR(__xludf.DUMMYFUNCTION("""COMPUTED_VALUE"""),"SSY1-RTL15AE-DALION")</f>
        <v>SSY1-RTL15AE-DALION</v>
      </c>
      <c r="D407" s="4" t="str">
        <f ca="1">IFERROR(__xludf.DUMMYFUNCTION("""COMPUTED_VALUE"""),"Продление подписки на обновления 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И"&amp;"нтернет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воз"&amp;"можности: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об"&amp;"мен через Интернет на 1 (один) год")</f>
        <v>Продление подписки на обновления 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07" s="4" t="str">
        <f ca="1">IFERROR(__xludf.DUMMYFUNCTION("""COMPUTED_VALUE"""),"Продление подписки на обновления 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«ДАЛИОН: Управление магазином 1.2» ПРО/УНО/СЕТЬ, для работы с маркированным товаром: алкоголь ЕГАИС и товары по штрихкодам  на 1 (один) год</v>
      </c>
      <c r="F407" s="5">
        <f ca="1">IFERROR(__xludf.DUMMYFUNCTION("""COMPUTED_VALUE"""),2200)</f>
        <v>2200</v>
      </c>
    </row>
    <row r="408" spans="1:6" ht="72" customHeight="1" x14ac:dyDescent="0.2">
      <c r="A408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8" s="4" t="str">
        <f ca="1">IFERROR(__xludf.DUMMYFUNCTION("""COMPUTED_VALUE"""),"с ЕГАИС, РАСШИРЕННЫЙ")</f>
        <v>с ЕГАИС, РАСШИРЕННЫЙ</v>
      </c>
      <c r="C408" s="4" t="str">
        <f ca="1">IFERROR(__xludf.DUMMYFUNCTION("""COMPUTED_VALUE"""),"SSY1-RTL15BE-DALION")</f>
        <v>SSY1-RTL15BE-DALION</v>
      </c>
      <c r="D408" s="4" t="str">
        <f ca="1">IFERROR(__xludf.DUMMYFUNCTION("""COMPUTED_VALUE"""),"Продление подписки на обновления 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чер"&amp;"ез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/"&amp;"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Продление подписки на обновления 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8" s="4" t="str">
        <f ca="1">IFERROR(__xludf.DUMMYFUNCTION("""COMPUTED_VALUE"""),"Продление подписки на обновления 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«ДАЛИОН: Управление магазином 1.2» ПРО/УНО/СЕТЬ, для работы с маркированным товаром: алкоголь ЕГАИС и товары по штрихкодам  на 1 (один) год</v>
      </c>
      <c r="F408" s="5">
        <f ca="1">IFERROR(__xludf.DUMMYFUNCTION("""COMPUTED_VALUE"""),3490)</f>
        <v>3490</v>
      </c>
    </row>
    <row r="409" spans="1:6" ht="72" customHeight="1" x14ac:dyDescent="0.2">
      <c r="A409" s="4" t="str">
        <f ca="1">IFERROR(__xludf.DUMMYFUNCTION("""COMPUTED_VALUE"""),"«ДАЛИОН: Управление магазином 1.2» ПРО/УНО/СЕТЬ")</f>
        <v>«ДАЛИОН: Управление магазином 1.2» ПРО/УНО/СЕТЬ</v>
      </c>
      <c r="B409" s="4" t="str">
        <f ca="1">IFERROR(__xludf.DUMMYFUNCTION("""COMPUTED_VALUE"""),"с ЕГАИС (без CheckMark2), МЕГАМАРКЕТ")</f>
        <v>с ЕГАИС (без CheckMark2), МЕГАМАРКЕТ</v>
      </c>
      <c r="C409" s="4" t="str">
        <f ca="1">IFERROR(__xludf.DUMMYFUNCTION("""COMPUTED_VALUE"""),"SSY1-RTL15CEV-DALION")</f>
        <v>SSY1-RTL15CEV-DALION</v>
      </c>
      <c r="D409" s="4" t="str">
        <f ca="1">IFERROR(__xludf.DUMMYFUNCTION("""COMPUTED_VALUE"""),"Продление подписки на обновления 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беспроводн"&amp;"ой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про"&amp;"верка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(одно)"&amp;" моб. устройство,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09" s="4" t="str">
        <f ca="1">IFERROR(__xludf.DUMMYFUNCTION("""COMPUTED_VALUE"""),"Продление подписки на обновления 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«ДАЛИОН: Управление магазином 1.2» ПРО/УНО/СЕТЬ, для работы с маркированным товаром: алкоголь ЕГАИС и товары по штрихкодам  на 1 (один) год</v>
      </c>
      <c r="F409" s="5">
        <f ca="1">IFERROR(__xludf.DUMMYFUNCTION("""COMPUTED_VALUE"""),4770)</f>
        <v>4770</v>
      </c>
    </row>
    <row r="410" spans="1:6" ht="72" customHeight="1" x14ac:dyDescent="0.2">
      <c r="A410" s="4" t="str">
        <f ca="1">IFERROR(__xludf.DUMMYFUNCTION("""COMPUTED_VALUE"""),"«ДАЛИОН: Управление магазином 1.2» ЛАЙТ")</f>
        <v>«ДАЛИОН: Управление магазином 1.2» ЛАЙТ</v>
      </c>
      <c r="B410" s="4" t="str">
        <f ca="1">IFERROR(__xludf.DUMMYFUNCTION("""COMPUTED_VALUE"""),"МИНИМУМ")</f>
        <v>МИНИМУМ</v>
      </c>
      <c r="C410" s="4" t="str">
        <f ca="1">IFERROR(__xludf.DUMMYFUNCTION("""COMPUTED_VALUE"""),"SSY1-RTL15M-DALIONLITE12")</f>
        <v>SSY1-RTL15M-DALIONLITE12</v>
      </c>
      <c r="D410" s="4" t="str">
        <f ca="1">IFERROR(__xludf.DUMMYFUNCTION("""COMPUTED_VALUE"""),"Продление подписки на обновления Mobile SMARTS: Магазин 15, МИНИМУМ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сбор штрихк"&amp;"одов,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обнов"&amp;"ления и обмен через Интернет на 1 (один) год")</f>
        <v>Продление подписки на обновления Mobile SMARTS: Магазин 15, МИНИМУМ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0" s="4" t="str">
        <f ca="1">IFERROR(__xludf.DUMMYFUNCTION("""COMPUTED_VALUE"""),"Продление подписки на обновления Mobile SMARTS: Магазин 15, МИНИМУМ для «ДАЛИОН: Управление магазином 1.2» ЛАЙТ, для работы с товаром по штрихкодам  на 1 (один) год")</f>
        <v>Продление подписки на обновления Mobile SMARTS: Магазин 15, МИНИМУМ для «ДАЛИОН: Управление магазином 1.2» ЛАЙТ, для работы с товаром по штрихкодам  на 1 (один) год</v>
      </c>
      <c r="F410" s="5">
        <f ca="1">IFERROR(__xludf.DUMMYFUNCTION("""COMPUTED_VALUE"""),690)</f>
        <v>690</v>
      </c>
    </row>
    <row r="411" spans="1:6" ht="72" customHeight="1" x14ac:dyDescent="0.2">
      <c r="A411" s="4" t="str">
        <f ca="1">IFERROR(__xludf.DUMMYFUNCTION("""COMPUTED_VALUE"""),"«ДАЛИОН: Управление магазином 1.2» ЛАЙТ")</f>
        <v>«ДАЛИОН: Управление магазином 1.2» ЛАЙТ</v>
      </c>
      <c r="B411" s="4" t="str">
        <f ca="1">IFERROR(__xludf.DUMMYFUNCTION("""COMPUTED_VALUE"""),"БАЗОВЫЙ")</f>
        <v>БАЗОВЫЙ</v>
      </c>
      <c r="C411" s="4" t="str">
        <f ca="1">IFERROR(__xludf.DUMMYFUNCTION("""COMPUTED_VALUE"""),"SSY1-RTL15A-DALIONLITE12")</f>
        <v>SSY1-RTL15A-DALIONLITE12</v>
      </c>
      <c r="D411" s="4" t="str">
        <f ca="1">IFERROR(__xludf.DUMMYFUNCTION("""COMPUTED_VALUE"""),"Продление подписки на обновления Mobile SMARTS: Магазин 15, БАЗОВЫЙ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поступление"&amp;",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и"&amp;"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«ДАЛИОН: Управление магазином 1.2» ЛАЙТ,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1" s="4" t="str">
        <f ca="1">IFERROR(__xludf.DUMMYFUNCTION("""COMPUTED_VALUE"""),"Продление подписки на обновления Mobile SMARTS: Магазин 15, БАЗОВЫЙ для «ДАЛИОН: Управление магазином 1.2» ЛАЙТ, для работы с товаром по штрихкодам  на 1 (один) год")</f>
        <v>Продление подписки на обновления Mobile SMARTS: Магазин 15, БАЗОВЫЙ для «ДАЛИОН: Управление магазином 1.2» ЛАЙТ, для работы с товаром по штрихкодам  на 1 (один) год</v>
      </c>
      <c r="F411" s="5">
        <f ca="1">IFERROR(__xludf.DUMMYFUNCTION("""COMPUTED_VALUE"""),1730)</f>
        <v>1730</v>
      </c>
    </row>
    <row r="412" spans="1:6" ht="72" customHeight="1" x14ac:dyDescent="0.2">
      <c r="A412" s="4" t="str">
        <f ca="1">IFERROR(__xludf.DUMMYFUNCTION("""COMPUTED_VALUE"""),"«ДАЛИОН: Управление магазином 1.2» ЛАЙТ")</f>
        <v>«ДАЛИОН: Управление магазином 1.2» ЛАЙТ</v>
      </c>
      <c r="B412" s="4" t="str">
        <f ca="1">IFERROR(__xludf.DUMMYFUNCTION("""COMPUTED_VALUE"""),"с ЕГАИС, БАЗОВЫЙ")</f>
        <v>с ЕГАИС, БАЗОВЫЙ</v>
      </c>
      <c r="C412" s="4" t="str">
        <f ca="1">IFERROR(__xludf.DUMMYFUNCTION("""COMPUTED_VALUE"""),"SSY1-RTL15AE-DALIONLITE12")</f>
        <v>SSY1-RTL15AE-DALIONLITE12</v>
      </c>
      <c r="D412" s="4" t="str">
        <f ca="1">IFERROR(__xludf.DUMMYFUNCTION("""COMPUTED_VALUE"""),"Продление подписки на обновления Mobile SMARTS: Магазин 15 с ЕГАИС, БАЗОВЫЙ для «ДАЛИОН: Управление магазином 1.2» ЛАЙТ, для работы с маркированным товаром: алкоголь ЕГАИС и товары по штрихкодам / на выбор проводной, беспроводной или обмен через Интернет "&amp;"/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чере"&amp;"з Интернет на 1 (один) год")</f>
        <v>Продление подписки на обновления Mobile SMARTS: Магазин 15 с ЕГАИС, БАЗОВЫЙ для «ДАЛИОН: Управление магазином 1.2» ЛАЙТ,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2" s="4" t="str">
        <f ca="1">IFERROR(__xludf.DUMMYFUNCTION("""COMPUTED_VALUE"""),"Продление подписки на обновления Mobile SMARTS: Магазин 15 с ЕГАИС, БАЗОВЫЙ для «ДАЛИОН: Управление магазином 1.2» ЛАЙТ,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«ДАЛИОН: Управление магазином 1.2» ЛАЙТ, для работы с маркированным товаром: алкоголь ЕГАИС и товары по штрихкодам  на 1 (один) год</v>
      </c>
      <c r="F412" s="5">
        <f ca="1">IFERROR(__xludf.DUMMYFUNCTION("""COMPUTED_VALUE"""),2200)</f>
        <v>2200</v>
      </c>
    </row>
    <row r="413" spans="1:6" ht="72" customHeight="1" x14ac:dyDescent="0.2">
      <c r="A413" s="4" t="str">
        <f ca="1">IFERROR(__xludf.DUMMYFUNCTION("""COMPUTED_VALUE"""),"«ДАЛИОН: Управление магазином 2.0»")</f>
        <v>«ДАЛИОН: Управление магазином 2.0»</v>
      </c>
      <c r="B413" s="4" t="str">
        <f ca="1">IFERROR(__xludf.DUMMYFUNCTION("""COMPUTED_VALUE"""),"МИНИМУМ")</f>
        <v>МИНИМУМ</v>
      </c>
      <c r="C413" s="4" t="str">
        <f ca="1">IFERROR(__xludf.DUMMYFUNCTION("""COMPUTED_VALUE"""),"SSY1-RTL15M-DALIONUM20")</f>
        <v>SSY1-RTL15M-DALIONUM20</v>
      </c>
      <c r="D413" s="4" t="str">
        <f ca="1">IFERROR(__xludf.DUMMYFUNCTION("""COMPUTED_VALUE"""),"Продление подписки на обновления Mobile SMARTS: Магазин 15, МИНИМУМ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сбор штрихкодов,"&amp;"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обновления"&amp;" и обмен через Интернет на 1 (один) год")</f>
        <v>Продление подписки на обновления Mobile SMARTS: Магазин 15, МИНИМУМ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3" s="4" t="str">
        <f ca="1">IFERROR(__xludf.DUMMYFUNCTION("""COMPUTED_VALUE"""),"Продление подписки на обновления Mobile SMARTS: Магазин 15, МИНИМУМ для «ДАЛИОН: Управление магазином 2.0», для работы с товаром по штрихкодам  на 1 (один) год")</f>
        <v>Продление подписки на обновления Mobile SMARTS: Магазин 15, МИНИМУМ для «ДАЛИОН: Управление магазином 2.0», для работы с товаром по штрихкодам  на 1 (один) год</v>
      </c>
      <c r="F413" s="5">
        <f ca="1">IFERROR(__xludf.DUMMYFUNCTION("""COMPUTED_VALUE"""),690)</f>
        <v>690</v>
      </c>
    </row>
    <row r="414" spans="1:6" ht="72" customHeight="1" x14ac:dyDescent="0.2">
      <c r="A414" s="4" t="str">
        <f ca="1">IFERROR(__xludf.DUMMYFUNCTION("""COMPUTED_VALUE"""),"«ДАЛИОН: Управление магазином 2.0»")</f>
        <v>«ДАЛИОН: Управление магазином 2.0»</v>
      </c>
      <c r="B414" s="4" t="str">
        <f ca="1">IFERROR(__xludf.DUMMYFUNCTION("""COMPUTED_VALUE"""),"БАЗОВЫЙ")</f>
        <v>БАЗОВЫЙ</v>
      </c>
      <c r="C414" s="4" t="str">
        <f ca="1">IFERROR(__xludf.DUMMYFUNCTION("""COMPUTED_VALUE"""),"SSY1-RTL15A-DALIONUM20")</f>
        <v>SSY1-RTL15A-DALIONUM20</v>
      </c>
      <c r="D414" s="4" t="str">
        <f ca="1">IFERROR(__xludf.DUMMYFUNCTION("""COMPUTED_VALUE"""),"Продление подписки на обновления Mobile SMARTS: Магазин 15, БАЗОВЫЙ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поступление, инв"&amp;"ентаризация,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«ДАЛИОН: Управление магазином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4" s="4" t="str">
        <f ca="1">IFERROR(__xludf.DUMMYFUNCTION("""COMPUTED_VALUE"""),"Продление подписки на обновления Mobile SMARTS: Магазин 15, БАЗОВЫЙ для «ДАЛИОН: Управление магазином 2.0», для работы с товаром по штрихкодам  на 1 (один) год")</f>
        <v>Продление подписки на обновления Mobile SMARTS: Магазин 15, БАЗОВЫЙ для «ДАЛИОН: Управление магазином 2.0», для работы с товаром по штрихкодам  на 1 (один) год</v>
      </c>
      <c r="F414" s="5">
        <f ca="1">IFERROR(__xludf.DUMMYFUNCTION("""COMPUTED_VALUE"""),1730)</f>
        <v>1730</v>
      </c>
    </row>
    <row r="415" spans="1:6" ht="72" customHeight="1" x14ac:dyDescent="0.2">
      <c r="A415" s="4" t="str">
        <f ca="1">IFERROR(__xludf.DUMMYFUNCTION("""COMPUTED_VALUE"""),"«ДАЛИОН: Управление магазином 2.0»")</f>
        <v>«ДАЛИОН: Управление магазином 2.0»</v>
      </c>
      <c r="B415" s="4" t="str">
        <f ca="1">IFERROR(__xludf.DUMMYFUNCTION("""COMPUTED_VALUE"""),"РАСШИРЕННЫЙ")</f>
        <v>РАСШИРЕННЫЙ</v>
      </c>
      <c r="C415" s="4" t="str">
        <f ca="1">IFERROR(__xludf.DUMMYFUNCTION("""COMPUTED_VALUE"""),"SSY1-RTL15B-DALIONUM20")</f>
        <v>SSY1-RTL15B-DALIONUM20</v>
      </c>
      <c r="D415" s="4" t="str">
        <f ca="1">IFERROR(__xludf.DUMMYFUNCTION("""COMPUTED_VALUE"""),"Продление подписки на обновления Mobile SMARTS: Магазин 15, РАСШИРЕННЫЙ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поступление,"&amp;"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"&amp;"ценах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5" s="4" t="str">
        <f ca="1">IFERROR(__xludf.DUMMYFUNCTION("""COMPUTED_VALUE"""),"Продление подписки на обновления Mobile SMARTS: Магазин 15, РАСШИРЕННЫЙ для «ДАЛИОН: Управление магазином 2.0», для работы с товаром по штрихкодам  на 1 (один) год")</f>
        <v>Продление подписки на обновления Mobile SMARTS: Магазин 15, РАСШИРЕННЫЙ для «ДАЛИОН: Управление магазином 2.0», для работы с товаром по штрихкодам  на 1 (один) год</v>
      </c>
      <c r="F415" s="5">
        <f ca="1">IFERROR(__xludf.DUMMYFUNCTION("""COMPUTED_VALUE"""),3010)</f>
        <v>3010</v>
      </c>
    </row>
    <row r="416" spans="1:6" ht="72" customHeight="1" x14ac:dyDescent="0.2">
      <c r="A416" s="4" t="str">
        <f ca="1">IFERROR(__xludf.DUMMYFUNCTION("""COMPUTED_VALUE"""),"«ДАЛИОН: Управление магазином 2.0»")</f>
        <v>«ДАЛИОН: Управление магазином 2.0»</v>
      </c>
      <c r="B416" s="4" t="str">
        <f ca="1">IFERROR(__xludf.DUMMYFUNCTION("""COMPUTED_VALUE"""),"МЕГАМАРКЕТ")</f>
        <v>МЕГАМАРКЕТ</v>
      </c>
      <c r="C416" s="4" t="str">
        <f ca="1">IFERROR(__xludf.DUMMYFUNCTION("""COMPUTED_VALUE"""),"SSY1-RTL15C-DALIONUM20")</f>
        <v>SSY1-RTL15C-DALIONUM20</v>
      </c>
      <c r="D416" s="4" t="str">
        <f ca="1">IFERROR(__xludf.DUMMYFUNCTION("""COMPUTED_VALUE"""),"Продление подписки на обновления Mobile SMARTS: Магазин 15, МЕГАМАРКЕТ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"&amp;"инвентаризация,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контр"&amp;"агентах,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«ДАЛИОН: Управление магазином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6" s="4" t="str">
        <f ca="1">IFERROR(__xludf.DUMMYFUNCTION("""COMPUTED_VALUE"""),"Продление подписки на обновления Mobile SMARTS: Магазин 15, МЕГАМАРКЕТ для «ДАЛИОН: Управление магазином 2.0», для работы с товаром по штрихкодам  на 1 (один) год")</f>
        <v>Продление подписки на обновления Mobile SMARTS: Магазин 15, МЕГАМАРКЕТ для «ДАЛИОН: Управление магазином 2.0», для работы с товаром по штрихкодам  на 1 (один) год</v>
      </c>
      <c r="F416" s="5">
        <f ca="1">IFERROR(__xludf.DUMMYFUNCTION("""COMPUTED_VALUE"""),4310)</f>
        <v>4310</v>
      </c>
    </row>
    <row r="417" spans="1:6" ht="72" customHeight="1" x14ac:dyDescent="0.2">
      <c r="A417" s="4" t="str">
        <f ca="1">IFERROR(__xludf.DUMMYFUNCTION("""COMPUTED_VALUE"""),"«ДАЛИОН: Управление магазином 2.0»")</f>
        <v>«ДАЛИОН: Управление магазином 2.0»</v>
      </c>
      <c r="B417" s="4" t="str">
        <f ca="1">IFERROR(__xludf.DUMMYFUNCTION("""COMPUTED_VALUE"""),"с ЕГАИС, БАЗОВЫЙ")</f>
        <v>с ЕГАИС, БАЗОВЫЙ</v>
      </c>
      <c r="C417" s="4" t="str">
        <f ca="1">IFERROR(__xludf.DUMMYFUNCTION("""COMPUTED_VALUE"""),"SSY1-RTL15AE-DALIONUM20")</f>
        <v>SSY1-RTL15AE-DALIONUM20</v>
      </c>
      <c r="D417" s="4" t="str">
        <f ca="1">IFERROR(__xludf.DUMMYFUNCTION("""COMPUTED_VALUE"""),"Продление подписки на обновления Mobile SMARTS: Магазин 15 с ЕГАИС, БАЗОВЫЙ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нет"&amp;"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печ"&amp;"ать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Инт"&amp;"ернет на 1 (один) год")</f>
        <v>Продление подписки на обновления Mobile SMARTS: Магазин 15 с ЕГАИС, БАЗОВЫЙ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17" s="4" t="str">
        <f ca="1">IFERROR(__xludf.DUMMYFUNCTION("""COMPUTED_VALUE"""),"Продление подписки на обновления Mobile SMARTS: Магазин 15 с ЕГАИС, БАЗОВЫЙ для «ДАЛИОН: Управление магазином 2.0»,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«ДАЛИОН: Управление магазином 2.0», для работы с маркированным товаром: алкоголь ЕГАИС и товары по штрихкодам  на 1 (один) год</v>
      </c>
      <c r="F417" s="5">
        <f ca="1">IFERROR(__xludf.DUMMYFUNCTION("""COMPUTED_VALUE"""),2200)</f>
        <v>2200</v>
      </c>
    </row>
    <row r="418" spans="1:6" ht="72" customHeight="1" x14ac:dyDescent="0.2">
      <c r="A418" s="4" t="str">
        <f ca="1">IFERROR(__xludf.DUMMYFUNCTION("""COMPUTED_VALUE"""),"«ДАЛИОН: Управление магазином 2.0»")</f>
        <v>«ДАЛИОН: Управление магазином 2.0»</v>
      </c>
      <c r="B418" s="4" t="str">
        <f ca="1">IFERROR(__xludf.DUMMYFUNCTION("""COMPUTED_VALUE"""),"с ЕГАИС, РАСШИРЕННЫЙ")</f>
        <v>с ЕГАИС, РАСШИРЕННЫЙ</v>
      </c>
      <c r="C418" s="4" t="str">
        <f ca="1">IFERROR(__xludf.DUMMYFUNCTION("""COMPUTED_VALUE"""),"SSY1-RTL15BE-DALIONUM20")</f>
        <v>SSY1-RTL15BE-DALIONUM20</v>
      </c>
      <c r="D418" s="4" t="str">
        <f ca="1">IFERROR(__xludf.DUMMYFUNCTION("""COMPUTED_VALUE"""),"Продление подписки на обновления Mobile SMARTS: Магазин 15 с ЕГАИС, РАСШИРЕННЫЙ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/"&amp;"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возможности:"&amp;"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"&amp;"через Интернет на 1 (один) год")</f>
        <v>Продление подписки на обновления Mobile SMARTS: Магазин 15 с ЕГАИС, РАСШИРЕННЫЙ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8" s="4" t="str">
        <f ca="1">IFERROR(__xludf.DUMMYFUNCTION("""COMPUTED_VALUE"""),"Продление подписки на обновления Mobile SMARTS: Магазин 15 с ЕГАИС, РАСШИРЕННЫЙ для «ДАЛИОН: Управление магазином 2.0»,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«ДАЛИОН: Управление магазином 2.0», для работы с маркированным товаром: алкоголь ЕГАИС и товары по штрихкодам  на 1 (один) год</v>
      </c>
      <c r="F418" s="5">
        <f ca="1">IFERROR(__xludf.DUMMYFUNCTION("""COMPUTED_VALUE"""),3490)</f>
        <v>3490</v>
      </c>
    </row>
    <row r="419" spans="1:6" ht="72" customHeight="1" x14ac:dyDescent="0.2">
      <c r="A419" s="4" t="str">
        <f ca="1">IFERROR(__xludf.DUMMYFUNCTION("""COMPUTED_VALUE"""),"«ДАЛИОН: Управление магазином 2.0»")</f>
        <v>«ДАЛИОН: Управление магазином 2.0»</v>
      </c>
      <c r="B419" s="4" t="str">
        <f ca="1">IFERROR(__xludf.DUMMYFUNCTION("""COMPUTED_VALUE"""),"с ЕГАИС (без CheckMark2), МЕГАМАРКЕТ")</f>
        <v>с ЕГАИС (без CheckMark2), МЕГАМАРКЕТ</v>
      </c>
      <c r="C419" s="4" t="str">
        <f ca="1">IFERROR(__xludf.DUMMYFUNCTION("""COMPUTED_VALUE"""),"SSY1-RTL15CEV-DALIONUM20")</f>
        <v>SSY1-RTL15CEV-DALIONUM20</v>
      </c>
      <c r="D419" s="4" t="str">
        <f ca="1">IFERROR(__xludf.DUMMYFUNCTION("""COMPUTED_VALUE"""),"Продление подписки на обновления 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"&amp;"через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QR-кодо"&amp;"в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устройс"&amp;"тво,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19" s="4" t="str">
        <f ca="1">IFERROR(__xludf.DUMMYFUNCTION("""COMPUTED_VALUE"""),"Продление подписки на обновления 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«ДАЛИОН: Управление магазином 2.0», для работы с маркированным товаром: алкоголь ЕГАИС и товары по штрихкодам  на 1 (один) год</v>
      </c>
      <c r="F419" s="5">
        <f ca="1">IFERROR(__xludf.DUMMYFUNCTION("""COMPUTED_VALUE"""),4770)</f>
        <v>4770</v>
      </c>
    </row>
    <row r="420" spans="1:6" ht="72" customHeight="1" x14ac:dyDescent="0.2">
      <c r="A420" s="4" t="str">
        <f ca="1">IFERROR(__xludf.DUMMYFUNCTION("""COMPUTED_VALUE"""),"«ДАЛИОН: Управление магазином 2.0»")</f>
        <v>«ДАЛИОН: Управление магазином 2.0»</v>
      </c>
      <c r="B420" s="4" t="str">
        <f ca="1">IFERROR(__xludf.DUMMYFUNCTION("""COMPUTED_VALUE"""),"с МОТП, БАЗОВЫЙ")</f>
        <v>с МОТП, БАЗОВЫЙ</v>
      </c>
      <c r="C420" s="4" t="str">
        <f ca="1">IFERROR(__xludf.DUMMYFUNCTION("""COMPUTED_VALUE"""),"SSY1-RTL15AT-DALIONUM20")</f>
        <v>SSY1-RTL15AT-DALIONUM20</v>
      </c>
      <c r="D420" s="4" t="str">
        <f ca="1">IFERROR(__xludf.DUMMYFUNCTION("""COMPUTED_VALUE"""),"Продление подписки на обновления Mobile SMARTS: Магазин 15 с МОТП, БАЗОВЫЙ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нет онлайна /"&amp;"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QR"&amp;"-кодов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МОТП, БАЗОВЫЙ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0" s="4" t="str">
        <f ca="1">IFERROR(__xludf.DUMMYFUNCTION("""COMPUTED_VALUE"""),"Продление подписки на обновления Mobile SMARTS: Магазин 15 с МОТП, БАЗОВЫЙ для «ДАЛИОН: Управление магазином 2.0» на 1 (один) год")</f>
        <v>Продление подписки на обновления Mobile SMARTS: Магазин 15 с МОТП, БАЗОВЫЙ для «ДАЛИОН: Управление магазином 2.0» на 1 (один) год</v>
      </c>
      <c r="F420" s="5">
        <f ca="1">IFERROR(__xludf.DUMMYFUNCTION("""COMPUTED_VALUE"""),2230)</f>
        <v>2230</v>
      </c>
    </row>
    <row r="421" spans="1:6" ht="72" customHeight="1" x14ac:dyDescent="0.2">
      <c r="A421" s="4" t="str">
        <f ca="1">IFERROR(__xludf.DUMMYFUNCTION("""COMPUTED_VALUE"""),"«ДАЛИОН: Управление магазином 2.0»")</f>
        <v>«ДАЛИОН: Управление магазином 2.0»</v>
      </c>
      <c r="B421" s="4" t="str">
        <f ca="1">IFERROR(__xludf.DUMMYFUNCTION("""COMPUTED_VALUE"""),"с МОТП, РАСШИРЕННЫЙ")</f>
        <v>с МОТП, РАСШИРЕННЫЙ</v>
      </c>
      <c r="C421" s="4" t="str">
        <f ca="1">IFERROR(__xludf.DUMMYFUNCTION("""COMPUTED_VALUE"""),"SSY1-RTL15BT-DALIONUM20")</f>
        <v>SSY1-RTL15BT-DALIONUM20</v>
      </c>
      <c r="D421" s="4" t="str">
        <f ca="1">IFERROR(__xludf.DUMMYFUNCTION("""COMPUTED_VALUE"""),"Продление подписки на обновления Mobile SMARTS: Магазин 15 с МОТП, РАСШИРЕННЫЙ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ОНЛА"&amp;"ЙН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проверк"&amp;"а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чере"&amp;"з Интернет на 1 (один) год")</f>
        <v>Продление подписки на обновления Mobile SMARTS: Магазин 15 с МОТП, РАСШИРЕННЫЙ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1" s="4" t="str">
        <f ca="1">IFERROR(__xludf.DUMMYFUNCTION("""COMPUTED_VALUE"""),"Продление подписки на обновления Mobile SMARTS: Магазин 15 с МОТП, РАСШИРЕННЫЙ для «ДАЛИОН: Управление магазином 2.0» на 1 (один) год")</f>
        <v>Продление подписки на обновления Mobile SMARTS: Магазин 15 с МОТП, РАСШИРЕННЫЙ для «ДАЛИОН: Управление магазином 2.0» на 1 (один) год</v>
      </c>
      <c r="F421" s="5">
        <f ca="1">IFERROR(__xludf.DUMMYFUNCTION("""COMPUTED_VALUE"""),3490)</f>
        <v>3490</v>
      </c>
    </row>
    <row r="422" spans="1:6" ht="72" customHeight="1" x14ac:dyDescent="0.2">
      <c r="A422" s="4" t="str">
        <f ca="1">IFERROR(__xludf.DUMMYFUNCTION("""COMPUTED_VALUE"""),"«ДАЛИОН: Управление магазином 2.0»")</f>
        <v>«ДАЛИОН: Управление магазином 2.0»</v>
      </c>
      <c r="B422" s="4" t="str">
        <f ca="1">IFERROR(__xludf.DUMMYFUNCTION("""COMPUTED_VALUE"""),"с МОТП, МЕГАМАРКЕТ")</f>
        <v>с МОТП, МЕГАМАРКЕТ</v>
      </c>
      <c r="C422" s="4" t="str">
        <f ca="1">IFERROR(__xludf.DUMMYFUNCTION("""COMPUTED_VALUE"""),"SSY1-RTL15CT-DALIONUM20")</f>
        <v>SSY1-RTL15CT-DALIONUM20</v>
      </c>
      <c r="D422" s="4" t="str">
        <f ca="1">IFERROR(__xludf.DUMMYFUNCTION("""COMPUTED_VALUE"""),"Продление подписки на обновления Mobile SMARTS: Магазин 15 с МОТП, МЕГАМАРКЕТ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ОНЛАЙ"&amp;"Н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проверка"&amp;"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обн"&amp;"овления и обмен через Интернет на 1 (один) год")</f>
        <v>Продление подписки на обновления Mobile SMARTS: Магазин 15 с МОТП, МЕГАМАРКЕТ для «ДАЛИОН: Управление магазином 2.0»,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2" s="4" t="str">
        <f ca="1">IFERROR(__xludf.DUMMYFUNCTION("""COMPUTED_VALUE"""),"Продление подписки на обновления Mobile SMARTS: Магазин 15 с МОТП, МЕГАМАРКЕТ для «ДАЛИОН: Управление магазином 2.0» на 1 (один) год")</f>
        <v>Продление подписки на обновления Mobile SMARTS: Магазин 15 с МОТП, МЕГАМАРКЕТ для «ДАЛИОН: Управление магазином 2.0» на 1 (один) год</v>
      </c>
      <c r="F422" s="5">
        <f ca="1">IFERROR(__xludf.DUMMYFUNCTION("""COMPUTED_VALUE"""),4770)</f>
        <v>4770</v>
      </c>
    </row>
    <row r="423" spans="1:6" ht="72" customHeight="1" x14ac:dyDescent="0.2">
      <c r="A423" s="4" t="str">
        <f ca="1">IFERROR(__xludf.DUMMYFUNCTION("""COMPUTED_VALUE"""),"«ДАЛИОН: Управление магазином 2.0»")</f>
        <v>«ДАЛИОН: Управление магазином 2.0»</v>
      </c>
      <c r="B423" s="4" t="str">
        <f ca="1">IFERROR(__xludf.DUMMYFUNCTION("""COMPUTED_VALUE"""),"с ЕГАИС и МОТП, БАЗОВЫЙ")</f>
        <v>с ЕГАИС и МОТП, БАЗОВЫЙ</v>
      </c>
      <c r="C423" s="4" t="str">
        <f ca="1">IFERROR(__xludf.DUMMYFUNCTION("""COMPUTED_VALUE"""),"SSY1-RTL15AET-DALIONUM20")</f>
        <v>SSY1-RTL15AET-DALIONUM20</v>
      </c>
      <c r="D423" s="4" t="str">
        <f ca="1">IFERROR(__xludf.DUMMYFUNCTION("""COMPUTED_VALUE"""),"Продление подписки на обновления Mobile SMARTS: Магазин 15 с ЕГАИС и МОТП, БАЗОВЫЙ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Интерн"&amp;"ет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отгр"&amp;"узка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3" s="4" t="str">
        <f ca="1">IFERROR(__xludf.DUMMYFUNCTION("""COMPUTED_VALUE"""),"Продление подписки на обновления Mobile SMARTS: Магазин 15 с ЕГАИС и МОТП, БАЗОВЫЙ для «ДАЛИОН: Управление магазином 2.0» на 1 (один) год")</f>
        <v>Продление подписки на обновления Mobile SMARTS: Магазин 15 с ЕГАИС и МОТП, БАЗОВЫЙ для «ДАЛИОН: Управление магазином 2.0» на 1 (один) год</v>
      </c>
      <c r="F423" s="5">
        <f ca="1">IFERROR(__xludf.DUMMYFUNCTION("""COMPUTED_VALUE"""),2430)</f>
        <v>2430</v>
      </c>
    </row>
    <row r="424" spans="1:6" ht="72" customHeight="1" x14ac:dyDescent="0.2">
      <c r="A424" s="4" t="str">
        <f ca="1">IFERROR(__xludf.DUMMYFUNCTION("""COMPUTED_VALUE"""),"«ДАЛИОН: Управление магазином 2.0»")</f>
        <v>«ДАЛИОН: Управление магазином 2.0»</v>
      </c>
      <c r="B424" s="4" t="str">
        <f ca="1">IFERROR(__xludf.DUMMYFUNCTION("""COMPUTED_VALUE"""),"с ЕГАИС и МОТП, РАСШИРЕННЫЙ")</f>
        <v>с ЕГАИС и МОТП, РАСШИРЕННЫЙ</v>
      </c>
      <c r="C424" s="4" t="str">
        <f ca="1">IFERROR(__xludf.DUMMYFUNCTION("""COMPUTED_VALUE"""),"SSY1-RTL15BET-DALIONUM20")</f>
        <v>SSY1-RTL15BET-DALIONUM20</v>
      </c>
      <c r="D424" s="4" t="str">
        <f ca="1">IFERROR(__xludf.DUMMYFUNCTION("""COMPUTED_VALUE"""),"Продление подписки на обновления Mobile SMARTS: Магазин 15 с ЕГАИС и МОТП, РАСШИРЕННЫЙ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Ин"&amp;"тернет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"&amp;"отгрузка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4" s="4" t="str">
        <f ca="1">IFERROR(__xludf.DUMMYFUNCTION("""COMPUTED_VALUE"""),"Продление подписки на обновления Mobile SMARTS: Магазин 15 с ЕГАИС и МОТП, РАСШИРЕННЫЙ для «ДАЛИОН: Управление магазином 2.0» на 1 (один) год")</f>
        <v>Продление подписки на обновления Mobile SMARTS: Магазин 15 с ЕГАИС и МОТП, РАСШИРЕННЫЙ для «ДАЛИОН: Управление магазином 2.0» на 1 (один) год</v>
      </c>
      <c r="F424" s="5">
        <f ca="1">IFERROR(__xludf.DUMMYFUNCTION("""COMPUTED_VALUE"""),3710)</f>
        <v>3710</v>
      </c>
    </row>
    <row r="425" spans="1:6" ht="72" customHeight="1" x14ac:dyDescent="0.2">
      <c r="A425" s="4" t="str">
        <f ca="1">IFERROR(__xludf.DUMMYFUNCTION("""COMPUTED_VALUE"""),"«ДАЛИОН: Управление магазином 2.0»")</f>
        <v>«ДАЛИОН: Управление магазином 2.0»</v>
      </c>
      <c r="B425" s="4" t="str">
        <f ca="1">IFERROR(__xludf.DUMMYFUNCTION("""COMPUTED_VALUE"""),"с ЕГАИС и МОТП, МЕГАМАРКЕТ")</f>
        <v>с ЕГАИС и МОТП, МЕГАМАРКЕТ</v>
      </c>
      <c r="C425" s="4" t="str">
        <f ca="1">IFERROR(__xludf.DUMMYFUNCTION("""COMPUTED_VALUE"""),"SSY1-RTL15CET-DALIONUM20")</f>
        <v>SSY1-RTL15CET-DALIONUM20</v>
      </c>
      <c r="D425" s="4" t="str">
        <f ca="1">IFERROR(__xludf.DUMMYFUNCTION("""COMPUTED_VALUE"""),"Продление подписки на обновления Mobile SMARTS: Магазин 15 с ЕГАИС и МОТП, МЕГАМАРКЕТ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Инт"&amp;"ернет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о"&amp;"тгрузка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«ДАЛИОН: Управление магазином 2.0»,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5" s="4" t="str">
        <f ca="1">IFERROR(__xludf.DUMMYFUNCTION("""COMPUTED_VALUE"""),"Продление подписки на обновления Mobile SMARTS: Магазин 15 с ЕГАИС и МОТП, МЕГАМАРКЕТ для «ДАЛИОН: Управление магазином 2.0» на 1 (один) год")</f>
        <v>Продление подписки на обновления Mobile SMARTS: Магазин 15 с ЕГАИС и МОТП, МЕГАМАРКЕТ для «ДАЛИОН: Управление магазином 2.0» на 1 (один) год</v>
      </c>
      <c r="F425" s="5">
        <f ca="1">IFERROR(__xludf.DUMMYFUNCTION("""COMPUTED_VALUE"""),5270)</f>
        <v>5270</v>
      </c>
    </row>
    <row r="426" spans="1:6" ht="72" customHeight="1" x14ac:dyDescent="0.2">
      <c r="A426" s="4" t="str">
        <f ca="1">IFERROR(__xludf.DUMMYFUNCTION("""COMPUTED_VALUE"""),"«ДАЛИОН: Управление магазином 2.0»")</f>
        <v>«ДАЛИОН: Управление магазином 2.0»</v>
      </c>
      <c r="B426" s="4" t="str">
        <f ca="1">IFERROR(__xludf.DUMMYFUNCTION("""COMPUTED_VALUE"""),"ШМОТКИ, БАЗОВЫЙ")</f>
        <v>ШМОТКИ, БАЗОВЫЙ</v>
      </c>
      <c r="C426" s="4" t="str">
        <f ca="1">IFERROR(__xludf.DUMMYFUNCTION("""COMPUTED_VALUE"""),"SSY1-RTL15AK-DALIONUM20")</f>
        <v>SSY1-RTL15AK-DALIONUM20</v>
      </c>
      <c r="D426" s="4" t="str">
        <f ca="1">IFERROR(__xludf.DUMMYFUNCTION("""COMPUTED_VALUE"""),"Продление подписки на обновления 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Ин"&amp;"тернет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"&amp;"настройки,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обнов"&amp;"ления и обмен через Интернет на 1 (один) год")</f>
        <v>Продление подписки на обновления 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6" s="4" t="str">
        <f ca="1">IFERROR(__xludf.DUMMYFUNCTION("""COMPUTED_VALUE"""),"Продление подписки на обновления 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«ДАЛИОН: Управление магазином 2.0», для работы с маркированным товаром: ОБУВЬ, ОДЕЖДА, ПАРФЮМ, ШИНЫ и товары по штрихкодам  на 1 (один) год</v>
      </c>
      <c r="F426" s="5">
        <f ca="1">IFERROR(__xludf.DUMMYFUNCTION("""COMPUTED_VALUE"""),2430)</f>
        <v>2430</v>
      </c>
    </row>
    <row r="427" spans="1:6" ht="72" customHeight="1" x14ac:dyDescent="0.2">
      <c r="A427" s="4" t="str">
        <f ca="1">IFERROR(__xludf.DUMMYFUNCTION("""COMPUTED_VALUE"""),"«ДАЛИОН: Управление магазином 2.0»")</f>
        <v>«ДАЛИОН: Управление магазином 2.0»</v>
      </c>
      <c r="B427" s="4" t="str">
        <f ca="1">IFERROR(__xludf.DUMMYFUNCTION("""COMPUTED_VALUE"""),"ШМОТКИ, РАСШИРЕННЫЙ")</f>
        <v>ШМОТКИ, РАСШИРЕННЫЙ</v>
      </c>
      <c r="C427" s="4" t="str">
        <f ca="1">IFERROR(__xludf.DUMMYFUNCTION("""COMPUTED_VALUE"""),"SSY1-RTL15BK-DALIONUM20")</f>
        <v>SSY1-RTL15BK-DALIONUM20</v>
      </c>
      <c r="D427" s="4" t="str">
        <f ca="1">IFERROR(__xludf.DUMMYFUNCTION("""COMPUTED_VALUE"""),"Продление подписки на обновления 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чере"&amp;"з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справочник"&amp;"ов,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о"&amp;"бновления и обмен через Интернет на 1 (один) год")</f>
        <v>Продление подписки на обновления 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7" s="4" t="str">
        <f ca="1">IFERROR(__xludf.DUMMYFUNCTION("""COMPUTED_VALUE"""),"Продление подписки на обновления 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«ДАЛИОН: Управление магазином 2.0», для работы с маркированным товаром: ОБУВЬ, ОДЕЖДА, ПАРФЮМ, ШИНЫ и товары по штрихкодам  на 1 (один) год</v>
      </c>
      <c r="F427" s="5">
        <f ca="1">IFERROR(__xludf.DUMMYFUNCTION("""COMPUTED_VALUE"""),3710)</f>
        <v>3710</v>
      </c>
    </row>
    <row r="428" spans="1:6" ht="72" customHeight="1" x14ac:dyDescent="0.2">
      <c r="A428" s="4" t="str">
        <f ca="1">IFERROR(__xludf.DUMMYFUNCTION("""COMPUTED_VALUE"""),"«ДАЛИОН: Управление магазином 2.0»")</f>
        <v>«ДАЛИОН: Управление магазином 2.0»</v>
      </c>
      <c r="B428" s="4" t="str">
        <f ca="1">IFERROR(__xludf.DUMMYFUNCTION("""COMPUTED_VALUE"""),"ШМОТКИ, МЕГАМАРКЕТ")</f>
        <v>ШМОТКИ, МЕГАМАРКЕТ</v>
      </c>
      <c r="C428" s="4" t="str">
        <f ca="1">IFERROR(__xludf.DUMMYFUNCTION("""COMPUTED_VALUE"""),"SSY1-RTL15CK-DALIONUM20")</f>
        <v>SSY1-RTL15CK-DALIONUM20</v>
      </c>
      <c r="D428" s="4" t="str">
        <f ca="1">IFERROR(__xludf.DUMMYFUNCTION("""COMPUTED_VALUE"""),"Продление подписки на обновления 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через"&amp;"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справочнико"&amp;"в,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устро"&amp;"йство, подписка на обновления и обмен через Интернет на 1 (один) год")</f>
        <v>Продление подписки на обновления 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8" s="4" t="str">
        <f ca="1">IFERROR(__xludf.DUMMYFUNCTION("""COMPUTED_VALUE"""),"Продление подписки на обновления 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«ДАЛИОН: Управление магазином 2.0», для работы с маркированным товаром: ОБУВЬ, ОДЕЖДА, ПАРФЮМ, ШИНЫ и товары по штрихкодам  на 1 (один) год</v>
      </c>
      <c r="F428" s="5">
        <f ca="1">IFERROR(__xludf.DUMMYFUNCTION("""COMPUTED_VALUE"""),5270)</f>
        <v>5270</v>
      </c>
    </row>
    <row r="429" spans="1:6" ht="72" customHeight="1" x14ac:dyDescent="0.2">
      <c r="A429" s="4" t="str">
        <f ca="1">IFERROR(__xludf.DUMMYFUNCTION("""COMPUTED_VALUE"""),"«ДАЛИОН: Управление магазином 2.0»")</f>
        <v>«ДАЛИОН: Управление магазином 2.0»</v>
      </c>
      <c r="B429" s="4" t="str">
        <f ca="1">IFERROR(__xludf.DUMMYFUNCTION("""COMPUTED_VALUE"""),"ПРОДУКТОВЫЙ, БАЗОВЫЙ")</f>
        <v>ПРОДУКТОВЫЙ, БАЗОВЫЙ</v>
      </c>
      <c r="C429" s="4" t="str">
        <f ca="1">IFERROR(__xludf.DUMMYFUNCTION("""COMPUTED_VALUE"""),"SSY1-RTL15AG-DALIONUM20")</f>
        <v>SSY1-RTL15AG-DALIONUM20</v>
      </c>
      <c r="D429" s="4" t="str">
        <f ca="1">IFERROR(__xludf.DUMMYFUNCTION("""COMPUTED_VALUE"""),"Продление подписки на обновления 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п"&amp;"роводной,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"&amp;"списание,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складах,"&amp;"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29" s="4" t="str">
        <f ca="1">IFERROR(__xludf.DUMMYFUNCTION("""COMPUTED_VALUE"""),"Продление подписки на обновления 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 на 1 (один)"&amp;" год")</f>
        <v>Продление подписки на обновления Mobile SMARTS: Магазин 15 ПРОДУКТОВЫЙ, БАЗОВЫЙ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 на 1 (один) год</v>
      </c>
      <c r="F429" s="5">
        <f ca="1">IFERROR(__xludf.DUMMYFUNCTION("""COMPUTED_VALUE"""),2910)</f>
        <v>2910</v>
      </c>
    </row>
    <row r="430" spans="1:6" ht="72" customHeight="1" x14ac:dyDescent="0.2">
      <c r="A430" s="4" t="str">
        <f ca="1">IFERROR(__xludf.DUMMYFUNCTION("""COMPUTED_VALUE"""),"«ДАЛИОН: Управление магазином 2.0»")</f>
        <v>«ДАЛИОН: Управление магазином 2.0»</v>
      </c>
      <c r="B430" s="4" t="str">
        <f ca="1">IFERROR(__xludf.DUMMYFUNCTION("""COMPUTED_VALUE"""),"ПРОДУКТОВЫЙ, РАСШИРЕННЫЙ")</f>
        <v>ПРОДУКТОВЫЙ, РАСШИРЕННЫЙ</v>
      </c>
      <c r="C430" s="4" t="str">
        <f ca="1">IFERROR(__xludf.DUMMYFUNCTION("""COMPUTED_VALUE"""),"SSY1-RTL15BG-DALIONUM20")</f>
        <v>SSY1-RTL15BG-DALIONUM20</v>
      </c>
      <c r="D430" s="4" t="str">
        <f ca="1">IFERROR(__xludf.DUMMYFUNCTION("""COMPUTED_VALUE"""),"Продление подписки на обновления 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выб"&amp;"ор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принте"&amp;"р),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скла"&amp;"дах,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0" s="4" t="str">
        <f ca="1">IFERROR(__xludf.DUMMYFUNCTION("""COMPUTED_VALUE"""),"Продление подписки на обновления 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 на 1 (о"&amp;"дин) год")</f>
        <v>Продление подписки на обновления Mobile SMARTS: Магазин 15 ПРОДУКТОВЫЙ, РАСШИРЕННЫЙ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 на 1 (один) год</v>
      </c>
      <c r="F430" s="5">
        <f ca="1">IFERROR(__xludf.DUMMYFUNCTION("""COMPUTED_VALUE"""),4190)</f>
        <v>4190</v>
      </c>
    </row>
    <row r="431" spans="1:6" ht="72" customHeight="1" x14ac:dyDescent="0.2">
      <c r="A431" s="4" t="str">
        <f ca="1">IFERROR(__xludf.DUMMYFUNCTION("""COMPUTED_VALUE"""),"«ДАЛИОН: Управление магазином 2.0»")</f>
        <v>«ДАЛИОН: Управление магазином 2.0»</v>
      </c>
      <c r="B431" s="4" t="str">
        <f ca="1">IFERROR(__xludf.DUMMYFUNCTION("""COMPUTED_VALUE"""),"ПРОДУКТОВЫЙ, МЕГАМАРКЕТ")</f>
        <v>ПРОДУКТОВЫЙ, МЕГАМАРКЕТ</v>
      </c>
      <c r="C431" s="4" t="str">
        <f ca="1">IFERROR(__xludf.DUMMYFUNCTION("""COMPUTED_VALUE"""),"SSY1-RTL15CG-DALIONUM20")</f>
        <v>SSY1-RTL15CG-DALIONUM20</v>
      </c>
      <c r="D431" s="4" t="str">
        <f ca="1">IFERROR(__xludf.DUMMYFUNCTION("""COMPUTED_VALUE"""),"Продление подписки на обновления 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выбо"&amp;"р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принтер"&amp;"),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инфор"&amp;"мация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1" s="4" t="str">
        <f ca="1">IFERROR(__xludf.DUMMYFUNCTION("""COMPUTED_VALUE"""),"Продление подписки на обновления 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 на 1 (од"&amp;"ин) год")</f>
        <v>Продление подписки на обновления Mobile SMARTS: Магазин 15 ПРОДУКТОВЫЙ, МЕГАМАРКЕТ для «ДАЛИОН: Управление магазином 2.0», для работы с маркированным товаром: АЛКОГОЛЬ, ПИВО, ТАБАК, МОЛОКО, ВОДА, ОДЕЖДА, ОБУВЬ, ДУХИ, ШИНЫ и товаром по штрихкодам  на 1 (один) год</v>
      </c>
      <c r="F431" s="5">
        <f ca="1">IFERROR(__xludf.DUMMYFUNCTION("""COMPUTED_VALUE"""),5650)</f>
        <v>5650</v>
      </c>
    </row>
    <row r="432" spans="1:6" ht="72" customHeight="1" x14ac:dyDescent="0.2">
      <c r="A432" s="4" t="str">
        <f ca="1">IFERROR(__xludf.DUMMYFUNCTION("""COMPUTED_VALUE"""),"#REF!")</f>
        <v>#REF!</v>
      </c>
      <c r="B432" s="4" t="str">
        <f ca="1">IFERROR(__xludf.DUMMYFUNCTION("""COMPUTED_VALUE"""),"#REF!")</f>
        <v>#REF!</v>
      </c>
      <c r="C432" s="4" t="str">
        <f ca="1">IFERROR(__xludf.DUMMYFUNCTION("""COMPUTED_VALUE"""),"#REF!")</f>
        <v>#REF!</v>
      </c>
      <c r="D432" s="4" t="str">
        <f ca="1">IFERROR(__xludf.DUMMYFUNCTION("""COMPUTED_VALUE"""),"#REF!")</f>
        <v>#REF!</v>
      </c>
      <c r="E432" s="4" t="str">
        <f ca="1">IFERROR(__xludf.DUMMYFUNCTION("""COMPUTED_VALUE"""),"#REF!")</f>
        <v>#REF!</v>
      </c>
      <c r="F432" s="4" t="str">
        <f ca="1">IFERROR(__xludf.DUMMYFUNCTION("""COMPUTED_VALUE"""),"#REF!")</f>
        <v>#REF!</v>
      </c>
    </row>
    <row r="433" spans="1:6" ht="72" customHeight="1" x14ac:dyDescent="0.2">
      <c r="A433" s="4" t="str">
        <f ca="1">IFERROR(__xludf.DUMMYFUNCTION("""COMPUTED_VALUE"""),"#REF!")</f>
        <v>#REF!</v>
      </c>
      <c r="B433" s="4" t="str">
        <f ca="1">IFERROR(__xludf.DUMMYFUNCTION("""COMPUTED_VALUE"""),"#REF!")</f>
        <v>#REF!</v>
      </c>
      <c r="C433" s="4" t="str">
        <f ca="1">IFERROR(__xludf.DUMMYFUNCTION("""COMPUTED_VALUE"""),"#REF!")</f>
        <v>#REF!</v>
      </c>
      <c r="D433" s="4" t="str">
        <f ca="1">IFERROR(__xludf.DUMMYFUNCTION("""COMPUTED_VALUE"""),"#REF!")</f>
        <v>#REF!</v>
      </c>
      <c r="E433" s="4" t="str">
        <f ca="1">IFERROR(__xludf.DUMMYFUNCTION("""COMPUTED_VALUE"""),"#REF!")</f>
        <v>#REF!</v>
      </c>
      <c r="F433" s="4" t="str">
        <f ca="1">IFERROR(__xludf.DUMMYFUNCTION("""COMPUTED_VALUE"""),"#REF!")</f>
        <v>#REF!</v>
      </c>
    </row>
    <row r="434" spans="1:6" ht="72" customHeight="1" x14ac:dyDescent="0.2">
      <c r="A434" s="4" t="str">
        <f ca="1">IFERROR(__xludf.DUMMYFUNCTION("""COMPUTED_VALUE"""),"#REF!")</f>
        <v>#REF!</v>
      </c>
      <c r="B434" s="4" t="str">
        <f ca="1">IFERROR(__xludf.DUMMYFUNCTION("""COMPUTED_VALUE"""),"#REF!")</f>
        <v>#REF!</v>
      </c>
      <c r="C434" s="4" t="str">
        <f ca="1">IFERROR(__xludf.DUMMYFUNCTION("""COMPUTED_VALUE"""),"#REF!")</f>
        <v>#REF!</v>
      </c>
      <c r="D434" s="4" t="str">
        <f ca="1">IFERROR(__xludf.DUMMYFUNCTION("""COMPUTED_VALUE"""),"#REF!")</f>
        <v>#REF!</v>
      </c>
      <c r="E434" s="4" t="str">
        <f ca="1">IFERROR(__xludf.DUMMYFUNCTION("""COMPUTED_VALUE"""),"#REF!")</f>
        <v>#REF!</v>
      </c>
      <c r="F434" s="4" t="str">
        <f ca="1">IFERROR(__xludf.DUMMYFUNCTION("""COMPUTED_VALUE"""),"#REF!")</f>
        <v>#REF!</v>
      </c>
    </row>
    <row r="435" spans="1:6" ht="72" customHeight="1" x14ac:dyDescent="0.2">
      <c r="A435" s="4" t="str">
        <f ca="1">IFERROR(__xludf.DUMMYFUNCTION("""COMPUTED_VALUE"""),"«Трактиръ: Head-Office 1.0»")</f>
        <v>«Трактиръ: Head-Office 1.0»</v>
      </c>
      <c r="B435" s="4" t="str">
        <f ca="1">IFERROR(__xludf.DUMMYFUNCTION("""COMPUTED_VALUE"""),"МИНИМУМ")</f>
        <v>МИНИМУМ</v>
      </c>
      <c r="C435" s="4" t="str">
        <f ca="1">IFERROR(__xludf.DUMMYFUNCTION("""COMPUTED_VALUE"""),"SSY1-RTL15M-HEADOFFICE10")</f>
        <v>SSY1-RTL15M-HEADOFFICE10</v>
      </c>
      <c r="D435" s="4" t="str">
        <f ca="1">IFERROR(__xludf.DUMMYFUNCTION("""COMPUTED_VALUE"""),"Продление подписки на обновления Mobile SMARTS: Магазин 15, МИНИМУМ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инвент"&amp;"аризация,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обме"&amp;"н через Интернет на 1 (один) год")</f>
        <v>Продление подписки на обновления Mobile SMARTS: Магазин 15, МИНИМУМ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35" s="4" t="str">
        <f ca="1">IFERROR(__xludf.DUMMYFUNCTION("""COMPUTED_VALUE"""),"Продление подписки на обновления Mobile SMARTS: Магазин 15, МИНИМУМ для «Трактиръ: Head-Office 1.0», для работы с товаром по штрихкодам  на 1 (один) год")</f>
        <v>Продление подписки на обновления Mobile SMARTS: Магазин 15, МИНИМУМ для «Трактиръ: Head-Office 1.0», для работы с товаром по штрихкодам  на 1 (один) год</v>
      </c>
      <c r="F435" s="5">
        <f ca="1">IFERROR(__xludf.DUMMYFUNCTION("""COMPUTED_VALUE"""),690)</f>
        <v>690</v>
      </c>
    </row>
    <row r="436" spans="1:6" ht="72" customHeight="1" x14ac:dyDescent="0.2">
      <c r="A436" s="4" t="str">
        <f ca="1">IFERROR(__xludf.DUMMYFUNCTION("""COMPUTED_VALUE"""),"«Трактиръ: Head-Office 1.0»")</f>
        <v>«Трактиръ: Head-Office 1.0»</v>
      </c>
      <c r="B436" s="4" t="str">
        <f ca="1">IFERROR(__xludf.DUMMYFUNCTION("""COMPUTED_VALUE"""),"БАЗОВЫЙ")</f>
        <v>БАЗОВЫЙ</v>
      </c>
      <c r="C436" s="4" t="str">
        <f ca="1">IFERROR(__xludf.DUMMYFUNCTION("""COMPUTED_VALUE"""),"SSY1-RTL15A-HEADOFFICE10")</f>
        <v>SSY1-RTL15A-HEADOFFICE10</v>
      </c>
      <c r="D436" s="4" t="str">
        <f ca="1">IFERROR(__xludf.DUMMYFUNCTION("""COMPUTED_VALUE"""),"Продление подписки на обновления Mobile SMARTS: Магазин 15, БАЗОВЫЙ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инвентариз"&amp;"ация,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«Трактиръ: Head-Office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6" s="4" t="str">
        <f ca="1">IFERROR(__xludf.DUMMYFUNCTION("""COMPUTED_VALUE"""),"Продление подписки на обновления Mobile SMARTS: Магазин 15, БАЗОВЫЙ для «Трактиръ: Head-Office 1.0», для работы с товаром по штрихкодам  на 1 (один) год")</f>
        <v>Продление подписки на обновления Mobile SMARTS: Магазин 15, БАЗОВЫЙ для «Трактиръ: Head-Office 1.0», для работы с товаром по штрихкодам  на 1 (один) год</v>
      </c>
      <c r="F436" s="5">
        <f ca="1">IFERROR(__xludf.DUMMYFUNCTION("""COMPUTED_VALUE"""),1730)</f>
        <v>1730</v>
      </c>
    </row>
    <row r="437" spans="1:6" ht="72" customHeight="1" x14ac:dyDescent="0.2">
      <c r="A437" s="4" t="str">
        <f ca="1">IFERROR(__xludf.DUMMYFUNCTION("""COMPUTED_VALUE"""),"«Трактиръ: Head-Office 1.0»")</f>
        <v>«Трактиръ: Head-Office 1.0»</v>
      </c>
      <c r="B437" s="4" t="str">
        <f ca="1">IFERROR(__xludf.DUMMYFUNCTION("""COMPUTED_VALUE"""),"РАСШИРЕННЫЙ")</f>
        <v>РАСШИРЕННЫЙ</v>
      </c>
      <c r="C437" s="4" t="str">
        <f ca="1">IFERROR(__xludf.DUMMYFUNCTION("""COMPUTED_VALUE"""),"SSY1-RTL15B-HEADOFFICE10")</f>
        <v>SSY1-RTL15B-HEADOFFICE10</v>
      </c>
      <c r="D437" s="4" t="str">
        <f ca="1">IFERROR(__xludf.DUMMYFUNCTION("""COMPUTED_VALUE"""),"Продление подписки на обновления Mobile SMARTS: Магазин 15, РАСШИРЕННЫЙ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7" s="4" t="str">
        <f ca="1">IFERROR(__xludf.DUMMYFUNCTION("""COMPUTED_VALUE"""),"Продление подписки на обновления Mobile SMARTS: Магазин 15, РАСШИРЕННЫЙ для «Трактиръ: Head-Office 1.0», для работы с товаром по штрихкодам  на 1 (один) год")</f>
        <v>Продление подписки на обновления Mobile SMARTS: Магазин 15, РАСШИРЕННЫЙ для «Трактиръ: Head-Office 1.0», для работы с товаром по штрихкодам  на 1 (один) год</v>
      </c>
      <c r="F437" s="5">
        <f ca="1">IFERROR(__xludf.DUMMYFUNCTION("""COMPUTED_VALUE"""),3010)</f>
        <v>3010</v>
      </c>
    </row>
    <row r="438" spans="1:6" ht="72" customHeight="1" x14ac:dyDescent="0.2">
      <c r="A438" s="4" t="str">
        <f ca="1">IFERROR(__xludf.DUMMYFUNCTION("""COMPUTED_VALUE"""),"«Трактиръ: Head-Office 1.0»")</f>
        <v>«Трактиръ: Head-Office 1.0»</v>
      </c>
      <c r="B438" s="4" t="str">
        <f ca="1">IFERROR(__xludf.DUMMYFUNCTION("""COMPUTED_VALUE"""),"МЕГАМАРКЕТ")</f>
        <v>МЕГАМАРКЕТ</v>
      </c>
      <c r="C438" s="4" t="str">
        <f ca="1">IFERROR(__xludf.DUMMYFUNCTION("""COMPUTED_VALUE"""),"SSY1-RTL15C-HEADOFFICE10")</f>
        <v>SSY1-RTL15C-HEADOFFICE10</v>
      </c>
      <c r="D438" s="4" t="str">
        <f ca="1">IFERROR(__xludf.DUMMYFUNCTION("""COMPUTED_VALUE"""),"Продление подписки на обновления Mobile SMARTS: Магазин 15, МЕГАМАРКЕТ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инвента"&amp;"ризация,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контрагентах"&amp;",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«Трактиръ: Head-Office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38" s="4" t="str">
        <f ca="1">IFERROR(__xludf.DUMMYFUNCTION("""COMPUTED_VALUE"""),"Продление подписки на обновления Mobile SMARTS: Магазин 15, МЕГАМАРКЕТ для «Трактиръ: Head-Office 1.0», для работы с товаром по штрихкодам  на 1 (один) год")</f>
        <v>Продление подписки на обновления Mobile SMARTS: Магазин 15, МЕГАМАРКЕТ для «Трактиръ: Head-Office 1.0», для работы с товаром по штрихкодам  на 1 (один) год</v>
      </c>
      <c r="F438" s="5">
        <f ca="1">IFERROR(__xludf.DUMMYFUNCTION("""COMPUTED_VALUE"""),4310)</f>
        <v>4310</v>
      </c>
    </row>
    <row r="439" spans="1:6" ht="72" customHeight="1" x14ac:dyDescent="0.2">
      <c r="A439" s="4" t="str">
        <f ca="1">IFERROR(__xludf.DUMMYFUNCTION("""COMPUTED_VALUE"""),"«Трактиръ: Head-Office 1.0»")</f>
        <v>«Трактиръ: Head-Office 1.0»</v>
      </c>
      <c r="B439" s="4" t="str">
        <f ca="1">IFERROR(__xludf.DUMMYFUNCTION("""COMPUTED_VALUE"""),"с ЕГАИС, БАЗОВЫЙ")</f>
        <v>с ЕГАИС, БАЗОВЫЙ</v>
      </c>
      <c r="C439" s="4" t="str">
        <f ca="1">IFERROR(__xludf.DUMMYFUNCTION("""COMPUTED_VALUE"""),"SSY1-RTL15AE-HEADOFFICE10")</f>
        <v>SSY1-RTL15AE-HEADOFFICE10</v>
      </c>
      <c r="D439" s="4" t="str">
        <f ca="1">IFERROR(__xludf.DUMMYFUNCTION("""COMPUTED_VALUE"""),"Продление подписки на обновления Mobile SMARTS: Магазин 15 с ЕГАИС, БАЗОВЫЙ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нет онлайн"&amp;"а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"&amp;"мобильный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н"&amp;"а 1 (один) год")</f>
        <v>Продление подписки на обновления Mobile SMARTS: Магазин 15 с ЕГАИС, БАЗОВЫЙ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39" s="4" t="str">
        <f ca="1">IFERROR(__xludf.DUMMYFUNCTION("""COMPUTED_VALUE"""),"Продление подписки на обновления Mobile SMARTS: Магазин 15 с ЕГАИС, БАЗОВЫЙ для «Трактиръ: Head-Office 1.0»,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«Трактиръ: Head-Office 1.0», для работы с маркированным товаром: алкоголь ЕГАИС и товары по штрихкодам  на 1 (один) год</v>
      </c>
      <c r="F439" s="5">
        <f ca="1">IFERROR(__xludf.DUMMYFUNCTION("""COMPUTED_VALUE"""),2200)</f>
        <v>2200</v>
      </c>
    </row>
    <row r="440" spans="1:6" ht="72" customHeight="1" x14ac:dyDescent="0.2">
      <c r="A440" s="4" t="str">
        <f ca="1">IFERROR(__xludf.DUMMYFUNCTION("""COMPUTED_VALUE"""),"«Трактиръ: Head-Office 1.0»")</f>
        <v>«Трактиръ: Head-Office 1.0»</v>
      </c>
      <c r="B440" s="4" t="str">
        <f ca="1">IFERROR(__xludf.DUMMYFUNCTION("""COMPUTED_VALUE"""),"с ЕГАИС, РАСШИРЕННЫЙ")</f>
        <v>с ЕГАИС, РАСШИРЕННЫЙ</v>
      </c>
      <c r="C440" s="4" t="str">
        <f ca="1">IFERROR(__xludf.DUMMYFUNCTION("""COMPUTED_VALUE"""),"SSY1-RTL15BE-HEADOFFICE10")</f>
        <v>SSY1-RTL15BE-HEADOFFICE10</v>
      </c>
      <c r="D440" s="4" t="str">
        <f ca="1">IFERROR(__xludf.DUMMYFUNCTION("""COMPUTED_VALUE"""),"Продление подписки на обновления Mobile SMARTS: Магазин 15 с ЕГАИС, РАСШИРЕННЫЙ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О"&amp;"НЛАЙН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печать"&amp;"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 с ЕГАИС, РАСШИРЕННЫЙ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0" s="4" t="str">
        <f ca="1">IFERROR(__xludf.DUMMYFUNCTION("""COMPUTED_VALUE"""),"Продление подписки на обновления Mobile SMARTS: Магазин 15 с ЕГАИС, РАСШИРЕННЫЙ для «Трактиръ: Head-Office 1.0»,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«Трактиръ: Head-Office 1.0», для работы с маркированным товаром: алкоголь ЕГАИС и товары по штрихкодам  на 1 (один) год</v>
      </c>
      <c r="F440" s="5">
        <f ca="1">IFERROR(__xludf.DUMMYFUNCTION("""COMPUTED_VALUE"""),3490)</f>
        <v>3490</v>
      </c>
    </row>
    <row r="441" spans="1:6" ht="72" customHeight="1" x14ac:dyDescent="0.2">
      <c r="A441" s="4" t="str">
        <f ca="1">IFERROR(__xludf.DUMMYFUNCTION("""COMPUTED_VALUE"""),"«Трактиръ: Head-Office 1.0»")</f>
        <v>«Трактиръ: Head-Office 1.0»</v>
      </c>
      <c r="B441" s="4" t="str">
        <f ca="1">IFERROR(__xludf.DUMMYFUNCTION("""COMPUTED_VALUE"""),"с ЕГАИС (без CheckMark2), МЕГАМАРКЕТ")</f>
        <v>с ЕГАИС (без CheckMark2), МЕГАМАРКЕТ</v>
      </c>
      <c r="C441" s="4" t="str">
        <f ca="1">IFERROR(__xludf.DUMMYFUNCTION("""COMPUTED_VALUE"""),"SSY1-RTL15CEV-HEADOFFICE10")</f>
        <v>SSY1-RTL15CEV-HEADOFFICE10</v>
      </c>
      <c r="D441" s="4" t="str">
        <f ca="1">IFERROR(__xludf.DUMMYFUNCTION("""COMPUTED_VALUE"""),"Продление подписки на обновления Mobile SMARTS: Магазин 15 с ЕГАИС (без CheckMark2), МЕГАМАРКЕТ для «Трактиръ: Head-Office 1.0», для работы с маркированным товаром: алкоголь ЕГАИС и товары по штрихкодам / на выбор проводной, беспроводной или обмен через И"&amp;"нтернет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воз"&amp;"можности: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по"&amp;"дписка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«Трактиръ: Head-Office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1" s="4" t="str">
        <f ca="1">IFERROR(__xludf.DUMMYFUNCTION("""COMPUTED_VALUE"""),"Продление подписки на обновления Mobile SMARTS: Магазин 15 с ЕГАИС (без CheckMark2), МЕГАМАРКЕТ для «Трактиръ: Head-Office 1.0»,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«Трактиръ: Head-Office 1.0», для работы с маркированным товаром: алкоголь ЕГАИС и товары по штрихкодам  на 1 (один) год</v>
      </c>
      <c r="F441" s="5">
        <f ca="1">IFERROR(__xludf.DUMMYFUNCTION("""COMPUTED_VALUE"""),4770)</f>
        <v>4770</v>
      </c>
    </row>
    <row r="442" spans="1:6" ht="72" customHeight="1" x14ac:dyDescent="0.2">
      <c r="A442" s="4" t="str">
        <f ca="1">IFERROR(__xludf.DUMMYFUNCTION("""COMPUTED_VALUE"""),"«ДАЛИОН: ТРЕНД 1.0»")</f>
        <v>«ДАЛИОН: ТРЕНД 1.0»</v>
      </c>
      <c r="B442" s="4" t="str">
        <f ca="1">IFERROR(__xludf.DUMMYFUNCTION("""COMPUTED_VALUE"""),"МИНИМУМ")</f>
        <v>МИНИМУМ</v>
      </c>
      <c r="C442" s="4" t="str">
        <f ca="1">IFERROR(__xludf.DUMMYFUNCTION("""COMPUTED_VALUE"""),"SSY1-RTL15M-DALIONTREND")</f>
        <v>SSY1-RTL15M-DALIONTREND</v>
      </c>
      <c r="D442" s="4" t="str">
        <f ca="1">IFERROR(__xludf.DUMMYFUNCTION("""COMPUTED_VALUE"""),"Продление подписки на обновления Mobile SMARTS: Магазин 15, МИНИМУМ для «ДАЛИОН: ТРЕНД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инвентаризация"&amp;",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"&amp;"Интернет на 1 (один) год")</f>
        <v>Продление подписки на обновления Mobile SMARTS: Магазин 15, МИНИМУМ для «ДАЛИОН: ТРЕНД 1.0»,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42" s="4" t="str">
        <f ca="1">IFERROR(__xludf.DUMMYFUNCTION("""COMPUTED_VALUE"""),"Продление подписки на обновления Mobile SMARTS: Магазин 15, МИНИМУМ для «ДАЛИОН: ТРЕНД 1.0», для работы с товаром по штрихкодам  на 1 (один) год")</f>
        <v>Продление подписки на обновления Mobile SMARTS: Магазин 15, МИНИМУМ для «ДАЛИОН: ТРЕНД 1.0», для работы с товаром по штрихкодам  на 1 (один) год</v>
      </c>
      <c r="F442" s="5">
        <f ca="1">IFERROR(__xludf.DUMMYFUNCTION("""COMPUTED_VALUE"""),690)</f>
        <v>690</v>
      </c>
    </row>
    <row r="443" spans="1:6" ht="72" customHeight="1" x14ac:dyDescent="0.2">
      <c r="A443" s="4" t="str">
        <f ca="1">IFERROR(__xludf.DUMMYFUNCTION("""COMPUTED_VALUE"""),"«ДАЛИОН: ТРЕНД 1.0»")</f>
        <v>«ДАЛИОН: ТРЕНД 1.0»</v>
      </c>
      <c r="B443" s="4" t="str">
        <f ca="1">IFERROR(__xludf.DUMMYFUNCTION("""COMPUTED_VALUE"""),"БАЗОВЫЙ")</f>
        <v>БАЗОВЫЙ</v>
      </c>
      <c r="C443" s="4" t="str">
        <f ca="1">IFERROR(__xludf.DUMMYFUNCTION("""COMPUTED_VALUE"""),"SSY1-RTL15A-DALIONTREND")</f>
        <v>SSY1-RTL15A-DALIONTREND</v>
      </c>
      <c r="D443" s="4" t="str">
        <f ca="1">IFERROR(__xludf.DUMMYFUNCTION("""COMPUTED_VALUE"""),"Продление подписки на обновления Mobile SMARTS: Магазин 15, БАЗОВЫЙ для «ДАЛИОН: ТРЕНД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пе"&amp;"реоценка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«ДАЛИОН: ТРЕНД 1.0»,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3" s="4" t="str">
        <f ca="1">IFERROR(__xludf.DUMMYFUNCTION("""COMPUTED_VALUE"""),"Продление подписки на обновления Mobile SMARTS: Магазин 15, БАЗОВЫЙ для «ДАЛИОН: ТРЕНД 1.0», для работы с товаром по штрихкодам  на 1 (один) год")</f>
        <v>Продление подписки на обновления Mobile SMARTS: Магазин 15, БАЗОВЫЙ для «ДАЛИОН: ТРЕНД 1.0», для работы с товаром по штрихкодам  на 1 (один) год</v>
      </c>
      <c r="F443" s="5">
        <f ca="1">IFERROR(__xludf.DUMMYFUNCTION("""COMPUTED_VALUE"""),1730)</f>
        <v>1730</v>
      </c>
    </row>
    <row r="444" spans="1:6" ht="72" customHeight="1" x14ac:dyDescent="0.2">
      <c r="A444" s="4" t="str">
        <f ca="1">IFERROR(__xludf.DUMMYFUNCTION("""COMPUTED_VALUE"""),"«ДАЛИОН: ТРЕНД 1.0»")</f>
        <v>«ДАЛИОН: ТРЕНД 1.0»</v>
      </c>
      <c r="B444" s="4" t="str">
        <f ca="1">IFERROR(__xludf.DUMMYFUNCTION("""COMPUTED_VALUE"""),"РАСШИРЕННЫЙ")</f>
        <v>РАСШИРЕННЫЙ</v>
      </c>
      <c r="C444" s="4" t="str">
        <f ca="1">IFERROR(__xludf.DUMMYFUNCTION("""COMPUTED_VALUE"""),"SSY1-RTL15B-DALIONTREND")</f>
        <v>SSY1-RTL15B-DALIONTREND</v>
      </c>
      <c r="D444" s="4" t="str">
        <f ca="1">IFERROR(__xludf.DUMMYFUNCTION("""COMPUTED_VALUE"""),"Продление подписки на обновления Mobile SMARTS: Магазин 15, РАСШИРЕННЫЙ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инвентаризация"&amp;",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4" s="4" t="str">
        <f ca="1">IFERROR(__xludf.DUMMYFUNCTION("""COMPUTED_VALUE"""),"Продление подписки на обновления Mobile SMARTS: Магазин 15, РАСШИРЕННЫЙ для «ДАЛИОН: ТРЕНД 1.0», для работы с товаром по штрихкодам  на 1 (один) год")</f>
        <v>Продление подписки на обновления Mobile SMARTS: Магазин 15, РАСШИРЕННЫЙ для «ДАЛИОН: ТРЕНД 1.0», для работы с товаром по штрихкодам  на 1 (один) год</v>
      </c>
      <c r="F444" s="5">
        <f ca="1">IFERROR(__xludf.DUMMYFUNCTION("""COMPUTED_VALUE"""),3010)</f>
        <v>3010</v>
      </c>
    </row>
    <row r="445" spans="1:6" ht="72" customHeight="1" x14ac:dyDescent="0.2">
      <c r="A445" s="4" t="str">
        <f ca="1">IFERROR(__xludf.DUMMYFUNCTION("""COMPUTED_VALUE"""),"«ДАЛИОН: ТРЕНД 1.0»")</f>
        <v>«ДАЛИОН: ТРЕНД 1.0»</v>
      </c>
      <c r="B445" s="4" t="str">
        <f ca="1">IFERROR(__xludf.DUMMYFUNCTION("""COMPUTED_VALUE"""),"МЕГАМАРКЕТ")</f>
        <v>МЕГАМАРКЕТ</v>
      </c>
      <c r="C445" s="4" t="str">
        <f ca="1">IFERROR(__xludf.DUMMYFUNCTION("""COMPUTED_VALUE"""),"SSY1-RTL15C-DALIONTREND")</f>
        <v>SSY1-RTL15C-DALIONTREND</v>
      </c>
      <c r="D445" s="4" t="str">
        <f ca="1">IFERROR(__xludf.DUMMYFUNCTION("""COMPUTED_VALUE"""),"Продление подписки на обновления Mobile SMARTS: Магазин 15, МЕГАМАРКЕТ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инвентаризация,"&amp;"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«ДАЛИОН: ТРЕНД 1.0»,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5" s="4" t="str">
        <f ca="1">IFERROR(__xludf.DUMMYFUNCTION("""COMPUTED_VALUE"""),"Продление подписки на обновления Mobile SMARTS: Магазин 15, МЕГАМАРКЕТ для «ДАЛИОН: ТРЕНД 1.0», для работы с товаром по штрихкодам  на 1 (один) год")</f>
        <v>Продление подписки на обновления Mobile SMARTS: Магазин 15, МЕГАМАРКЕТ для «ДАЛИОН: ТРЕНД 1.0», для работы с товаром по штрихкодам  на 1 (один) год</v>
      </c>
      <c r="F445" s="5">
        <f ca="1">IFERROR(__xludf.DUMMYFUNCTION("""COMPUTED_VALUE"""),4310)</f>
        <v>4310</v>
      </c>
    </row>
    <row r="446" spans="1:6" ht="72" customHeight="1" x14ac:dyDescent="0.2">
      <c r="A446" s="4" t="str">
        <f ca="1">IFERROR(__xludf.DUMMYFUNCTION("""COMPUTED_VALUE"""),"«ДАЛИОН: ТРЕНД 1.0»")</f>
        <v>«ДАЛИОН: ТРЕНД 1.0»</v>
      </c>
      <c r="B446" s="4" t="str">
        <f ca="1">IFERROR(__xludf.DUMMYFUNCTION("""COMPUTED_VALUE"""),"с ЕГАИС, БАЗОВЫЙ")</f>
        <v>с ЕГАИС, БАЗОВЫЙ</v>
      </c>
      <c r="C446" s="4" t="str">
        <f ca="1">IFERROR(__xludf.DUMMYFUNCTION("""COMPUTED_VALUE"""),"SSY1-RTL15AE-DALIONTREND")</f>
        <v>SSY1-RTL15AE-DALIONTREND</v>
      </c>
      <c r="D446" s="4" t="str">
        <f ca="1">IFERROR(__xludf.DUMMYFUNCTION("""COMPUTED_VALUE"""),"Продление подписки на обновления Mobile SMARTS: Магазин 15 с ЕГАИС, БАЗОВЫЙ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дост"&amp;"упные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мобильны"&amp;"й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(оди"&amp;"н) год")</f>
        <v>Продление подписки на обновления Mobile SMARTS: Магазин 15 с ЕГАИС, БАЗОВЫЙ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46" s="4" t="str">
        <f ca="1">IFERROR(__xludf.DUMMYFUNCTION("""COMPUTED_VALUE"""),"Продление подписки на обновления Mobile SMARTS: Магазин 15 с ЕГАИС, БАЗОВЫЙ для «ДАЛИОН: ТРЕНД 1.0»,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«ДАЛИОН: ТРЕНД 1.0», для работы с маркированным товаром: алкоголь ЕГАИС и товары по штрихкодам  на 1 (один) год</v>
      </c>
      <c r="F446" s="5">
        <f ca="1">IFERROR(__xludf.DUMMYFUNCTION("""COMPUTED_VALUE"""),2200)</f>
        <v>2200</v>
      </c>
    </row>
    <row r="447" spans="1:6" ht="72" customHeight="1" x14ac:dyDescent="0.2">
      <c r="A447" s="4" t="str">
        <f ca="1">IFERROR(__xludf.DUMMYFUNCTION("""COMPUTED_VALUE"""),"«ДАЛИОН: ТРЕНД 1.0»")</f>
        <v>«ДАЛИОН: ТРЕНД 1.0»</v>
      </c>
      <c r="B447" s="4" t="str">
        <f ca="1">IFERROR(__xludf.DUMMYFUNCTION("""COMPUTED_VALUE"""),"с ЕГАИС, РАСШИРЕННЫЙ")</f>
        <v>с ЕГАИС, РАСШИРЕННЫЙ</v>
      </c>
      <c r="C447" s="4" t="str">
        <f ca="1">IFERROR(__xludf.DUMMYFUNCTION("""COMPUTED_VALUE"""),"SSY1-RTL15BE-DALIONTREND")</f>
        <v>SSY1-RTL15BE-DALIONTREND</v>
      </c>
      <c r="D447" s="4" t="str">
        <f ca="1">IFERROR(__xludf.DUMMYFUNCTION("""COMPUTED_VALUE"""),"Продление подписки на обновления Mobile SMARTS: Магазин 15 с ЕГАИС, РАСШИРЕННЫЙ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"&amp;"доступные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моби"&amp;"льный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Продление подписки на обновления Mobile SMARTS: Магазин 15 с ЕГАИС, РАСШИРЕННЫЙ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7" s="4" t="str">
        <f ca="1">IFERROR(__xludf.DUMMYFUNCTION("""COMPUTED_VALUE"""),"Продление подписки на обновления Mobile SMARTS: Магазин 15 с ЕГАИС, РАСШИРЕННЫЙ для «ДАЛИОН: ТРЕНД 1.0»,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«ДАЛИОН: ТРЕНД 1.0», для работы с маркированным товаром: алкоголь ЕГАИС и товары по штрихкодам  на 1 (один) год</v>
      </c>
      <c r="F447" s="5">
        <f ca="1">IFERROR(__xludf.DUMMYFUNCTION("""COMPUTED_VALUE"""),3490)</f>
        <v>3490</v>
      </c>
    </row>
    <row r="448" spans="1:6" ht="72" customHeight="1" x14ac:dyDescent="0.2">
      <c r="A448" s="4" t="str">
        <f ca="1">IFERROR(__xludf.DUMMYFUNCTION("""COMPUTED_VALUE"""),"«ДАЛИОН: ТРЕНД 1.0»")</f>
        <v>«ДАЛИОН: ТРЕНД 1.0»</v>
      </c>
      <c r="B448" s="4" t="str">
        <f ca="1">IFERROR(__xludf.DUMMYFUNCTION("""COMPUTED_VALUE"""),"с ЕГАИС (без CheckMark2), МЕГАМАРКЕТ")</f>
        <v>с ЕГАИС (без CheckMark2), МЕГАМАРКЕТ</v>
      </c>
      <c r="C448" s="4" t="str">
        <f ca="1">IFERROR(__xludf.DUMMYFUNCTION("""COMPUTED_VALUE"""),"SSY1-RTL15CEV-DALIONTREND")</f>
        <v>SSY1-RTL15CEV-DALIONTREND</v>
      </c>
      <c r="D448" s="4" t="str">
        <f ca="1">IFERROR(__xludf.DUMMYFUNCTION("""COMPUTED_VALUE"""),"Продление подписки на обновления Mobile SMARTS: Магазин 15 с ЕГАИС (без CheckMark2), МЕГАМАРКЕТ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н"&amp;"а обновления и обмен через Интернет на 1 (один) год")</f>
        <v>Продление подписки на обновления Mobile SMARTS: Магазин 15 с ЕГАИС (без CheckMark2), МЕГАМАРКЕТ для «ДАЛИОН: ТРЕНД 1.0»,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48" s="4" t="str">
        <f ca="1">IFERROR(__xludf.DUMMYFUNCTION("""COMPUTED_VALUE"""),"Продление подписки на обновления Mobile SMARTS: Магазин 15 с ЕГАИС (без CheckMark2), МЕГАМАРКЕТ для «ДАЛИОН: ТРЕНД 1.0»,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«ДАЛИОН: ТРЕНД 1.0», для работы с маркированным товаром: алкоголь ЕГАИС и товары по штрихкодам  на 1 (один) год</v>
      </c>
      <c r="F448" s="5">
        <f ca="1">IFERROR(__xludf.DUMMYFUNCTION("""COMPUTED_VALUE"""),4770)</f>
        <v>4770</v>
      </c>
    </row>
    <row r="449" spans="1:6" ht="72" customHeight="1" x14ac:dyDescent="0.2">
      <c r="A449" s="4" t="str">
        <f ca="1">IFERROR(__xludf.DUMMYFUNCTION("""COMPUTED_VALUE"""),"«ДАЛИОН: ТРЕНД 2.0»")</f>
        <v>«ДАЛИОН: ТРЕНД 2.0»</v>
      </c>
      <c r="B449" s="4" t="str">
        <f ca="1">IFERROR(__xludf.DUMMYFUNCTION("""COMPUTED_VALUE"""),"МИНИМУМ")</f>
        <v>МИНИМУМ</v>
      </c>
      <c r="C449" s="4" t="str">
        <f ca="1">IFERROR(__xludf.DUMMYFUNCTION("""COMPUTED_VALUE"""),"SSY1-RTL15M-DALIONTREND2")</f>
        <v>SSY1-RTL15M-DALIONTREND2</v>
      </c>
      <c r="D449" s="4" t="str">
        <f ca="1">IFERROR(__xludf.DUMMYFUNCTION("""COMPUTED_VALUE"""),"Продление подписки на обновления Mobile SMARTS: Магазин 15, МИНИМУМ для «ДАЛИОН: ТРЕНД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инвентаризация"&amp;",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"&amp;"Интернет на 1 (один) год")</f>
        <v>Продление подписки на обновления Mobile SMARTS: Магазин 15, МИНИМУМ для «ДАЛИОН: ТРЕНД 2.0»,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49" s="4" t="str">
        <f ca="1">IFERROR(__xludf.DUMMYFUNCTION("""COMPUTED_VALUE"""),"Продление подписки на обновления Mobile SMARTS: Магазин 15, МИНИМУМ для «ДАЛИОН: ТРЕНД 2.0», для работы с товаром по штрихкодам  на 1 (один) год")</f>
        <v>Продление подписки на обновления Mobile SMARTS: Магазин 15, МИНИМУМ для «ДАЛИОН: ТРЕНД 2.0», для работы с товаром по штрихкодам  на 1 (один) год</v>
      </c>
      <c r="F449" s="5">
        <f ca="1">IFERROR(__xludf.DUMMYFUNCTION("""COMPUTED_VALUE"""),690)</f>
        <v>690</v>
      </c>
    </row>
    <row r="450" spans="1:6" ht="72" customHeight="1" x14ac:dyDescent="0.2">
      <c r="A450" s="4" t="str">
        <f ca="1">IFERROR(__xludf.DUMMYFUNCTION("""COMPUTED_VALUE"""),"«ДАЛИОН: ТРЕНД 2.0»")</f>
        <v>«ДАЛИОН: ТРЕНД 2.0»</v>
      </c>
      <c r="B450" s="4" t="str">
        <f ca="1">IFERROR(__xludf.DUMMYFUNCTION("""COMPUTED_VALUE"""),"БАЗОВЫЙ")</f>
        <v>БАЗОВЫЙ</v>
      </c>
      <c r="C450" s="4" t="str">
        <f ca="1">IFERROR(__xludf.DUMMYFUNCTION("""COMPUTED_VALUE"""),"SSY1-RTL15A-DALIONTREND2")</f>
        <v>SSY1-RTL15A-DALIONTREND2</v>
      </c>
      <c r="D450" s="4" t="str">
        <f ca="1">IFERROR(__xludf.DUMMYFUNCTION("""COMPUTED_VALUE"""),"Продление подписки на обновления Mobile SMARTS: Магазин 15, БАЗОВЫЙ для «ДАЛИОН: ТРЕНД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пе"&amp;"реоценка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«ДАЛИОН: ТРЕНД 2.0»,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0" s="4" t="str">
        <f ca="1">IFERROR(__xludf.DUMMYFUNCTION("""COMPUTED_VALUE"""),"Продление подписки на обновления Mobile SMARTS: Магазин 15, БАЗОВЫЙ для «ДАЛИОН: ТРЕНД 2.0», для работы с товаром по штрихкодам  на 1 (один) год")</f>
        <v>Продление подписки на обновления Mobile SMARTS: Магазин 15, БАЗОВЫЙ для «ДАЛИОН: ТРЕНД 2.0», для работы с товаром по штрихкодам  на 1 (один) год</v>
      </c>
      <c r="F450" s="5">
        <f ca="1">IFERROR(__xludf.DUMMYFUNCTION("""COMPUTED_VALUE"""),1730)</f>
        <v>1730</v>
      </c>
    </row>
    <row r="451" spans="1:6" ht="72" customHeight="1" x14ac:dyDescent="0.2">
      <c r="A451" s="4" t="str">
        <f ca="1">IFERROR(__xludf.DUMMYFUNCTION("""COMPUTED_VALUE"""),"«ДАЛИОН: ТРЕНД 2.0»")</f>
        <v>«ДАЛИОН: ТРЕНД 2.0»</v>
      </c>
      <c r="B451" s="4" t="str">
        <f ca="1">IFERROR(__xludf.DUMMYFUNCTION("""COMPUTED_VALUE"""),"РАСШИРЕННЫЙ")</f>
        <v>РАСШИРЕННЫЙ</v>
      </c>
      <c r="C451" s="4" t="str">
        <f ca="1">IFERROR(__xludf.DUMMYFUNCTION("""COMPUTED_VALUE"""),"SSY1-RTL15B-DALIONTREND2")</f>
        <v>SSY1-RTL15B-DALIONTREND2</v>
      </c>
      <c r="D451" s="4" t="str">
        <f ca="1">IFERROR(__xludf.DUMMYFUNCTION("""COMPUTED_VALUE"""),"Продление подписки на обновления Mobile SMARTS: Магазин 15, РАСШИРЕННЫЙ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инвентаризация"&amp;",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1" s="4" t="str">
        <f ca="1">IFERROR(__xludf.DUMMYFUNCTION("""COMPUTED_VALUE"""),"Продление подписки на обновления Mobile SMARTS: Магазин 15, РАСШИРЕННЫЙ для «ДАЛИОН: ТРЕНД 2.0», для работы с товаром по штрихкодам  на 1 (один) год")</f>
        <v>Продление подписки на обновления Mobile SMARTS: Магазин 15, РАСШИРЕННЫЙ для «ДАЛИОН: ТРЕНД 2.0», для работы с товаром по штрихкодам  на 1 (один) год</v>
      </c>
      <c r="F451" s="5">
        <f ca="1">IFERROR(__xludf.DUMMYFUNCTION("""COMPUTED_VALUE"""),3010)</f>
        <v>3010</v>
      </c>
    </row>
    <row r="452" spans="1:6" ht="72" customHeight="1" x14ac:dyDescent="0.2">
      <c r="A452" s="4" t="str">
        <f ca="1">IFERROR(__xludf.DUMMYFUNCTION("""COMPUTED_VALUE"""),"«ДАЛИОН: ТРЕНД 2.0»")</f>
        <v>«ДАЛИОН: ТРЕНД 2.0»</v>
      </c>
      <c r="B452" s="4" t="str">
        <f ca="1">IFERROR(__xludf.DUMMYFUNCTION("""COMPUTED_VALUE"""),"МЕГАМАРКЕТ")</f>
        <v>МЕГАМАРКЕТ</v>
      </c>
      <c r="C452" s="4" t="str">
        <f ca="1">IFERROR(__xludf.DUMMYFUNCTION("""COMPUTED_VALUE"""),"SSY1-RTL15C-DALIONTREND2")</f>
        <v>SSY1-RTL15C-DALIONTREND2</v>
      </c>
      <c r="D452" s="4" t="str">
        <f ca="1">IFERROR(__xludf.DUMMYFUNCTION("""COMPUTED_VALUE"""),"Продление подписки на обновления Mobile SMARTS: Магазин 15, МЕГАМАРКЕТ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инвентаризация,"&amp;"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«ДАЛИОН: ТРЕНД 2.0»,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2" s="4" t="str">
        <f ca="1">IFERROR(__xludf.DUMMYFUNCTION("""COMPUTED_VALUE"""),"Продление подписки на обновления Mobile SMARTS: Магазин 15, МЕГАМАРКЕТ для «ДАЛИОН: ТРЕНД 2.0», для работы с товаром по штрихкодам  на 1 (один) год")</f>
        <v>Продление подписки на обновления Mobile SMARTS: Магазин 15, МЕГАМАРКЕТ для «ДАЛИОН: ТРЕНД 2.0», для работы с товаром по штрихкодам  на 1 (один) год</v>
      </c>
      <c r="F452" s="5">
        <f ca="1">IFERROR(__xludf.DUMMYFUNCTION("""COMPUTED_VALUE"""),4310)</f>
        <v>4310</v>
      </c>
    </row>
    <row r="453" spans="1:6" ht="72" customHeight="1" x14ac:dyDescent="0.2">
      <c r="A453" s="4" t="str">
        <f ca="1">IFERROR(__xludf.DUMMYFUNCTION("""COMPUTED_VALUE"""),"«ДАЛИОН: ТРЕНД 2.0»")</f>
        <v>«ДАЛИОН: ТРЕНД 2.0»</v>
      </c>
      <c r="B453" s="4" t="str">
        <f ca="1">IFERROR(__xludf.DUMMYFUNCTION("""COMPUTED_VALUE"""),"с ЕГАИС, БАЗОВЫЙ")</f>
        <v>с ЕГАИС, БАЗОВЫЙ</v>
      </c>
      <c r="C453" s="4" t="str">
        <f ca="1">IFERROR(__xludf.DUMMYFUNCTION("""COMPUTED_VALUE"""),"SSY1-RTL15AE-DALIONTREND2")</f>
        <v>SSY1-RTL15AE-DALIONTREND2</v>
      </c>
      <c r="D453" s="4" t="str">
        <f ca="1">IFERROR(__xludf.DUMMYFUNCTION("""COMPUTED_VALUE"""),"Продление подписки на обновления Mobile SMARTS: Магазин 15 с ЕГАИС, БАЗОВЫЙ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дост"&amp;"упные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мобильны"&amp;"й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(оди"&amp;"н) год")</f>
        <v>Продление подписки на обновления Mobile SMARTS: Магазин 15 с ЕГАИС, БАЗОВЫЙ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53" s="4" t="str">
        <f ca="1">IFERROR(__xludf.DUMMYFUNCTION("""COMPUTED_VALUE"""),"Продление подписки на обновления Mobile SMARTS: Магазин 15 с ЕГАИС, БАЗОВЫЙ для «ДАЛИОН: ТРЕНД 2.0»,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«ДАЛИОН: ТРЕНД 2.0», для работы с маркированным товаром: алкоголь ЕГАИС и товары по штрихкодам  на 1 (один) год</v>
      </c>
      <c r="F453" s="5">
        <f ca="1">IFERROR(__xludf.DUMMYFUNCTION("""COMPUTED_VALUE"""),2200)</f>
        <v>2200</v>
      </c>
    </row>
    <row r="454" spans="1:6" ht="72" customHeight="1" x14ac:dyDescent="0.2">
      <c r="A454" s="4" t="str">
        <f ca="1">IFERROR(__xludf.DUMMYFUNCTION("""COMPUTED_VALUE"""),"«ДАЛИОН: ТРЕНД 2.0»")</f>
        <v>«ДАЛИОН: ТРЕНД 2.0»</v>
      </c>
      <c r="B454" s="4" t="str">
        <f ca="1">IFERROR(__xludf.DUMMYFUNCTION("""COMPUTED_VALUE"""),"с ЕГАИС, РАСШИРЕННЫЙ")</f>
        <v>с ЕГАИС, РАСШИРЕННЫЙ</v>
      </c>
      <c r="C454" s="4" t="str">
        <f ca="1">IFERROR(__xludf.DUMMYFUNCTION("""COMPUTED_VALUE"""),"SSY1-RTL15BE-DALIONTREND2")</f>
        <v>SSY1-RTL15BE-DALIONTREND2</v>
      </c>
      <c r="D454" s="4" t="str">
        <f ca="1">IFERROR(__xludf.DUMMYFUNCTION("""COMPUTED_VALUE"""),"Продление подписки на обновления Mobile SMARTS: Магазин 15 с ЕГАИС, РАСШИРЕННЫЙ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"&amp;"доступные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моби"&amp;"льный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Продление подписки на обновления Mobile SMARTS: Магазин 15 с ЕГАИС, РАСШИРЕННЫЙ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4" s="4" t="str">
        <f ca="1">IFERROR(__xludf.DUMMYFUNCTION("""COMPUTED_VALUE"""),"Продление подписки на обновления Mobile SMARTS: Магазин 15 с ЕГАИС, РАСШИРЕННЫЙ для «ДАЛИОН: ТРЕНД 2.0»,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«ДАЛИОН: ТРЕНД 2.0», для работы с маркированным товаром: алкоголь ЕГАИС и товары по штрихкодам  на 1 (один) год</v>
      </c>
      <c r="F454" s="5">
        <f ca="1">IFERROR(__xludf.DUMMYFUNCTION("""COMPUTED_VALUE"""),3490)</f>
        <v>3490</v>
      </c>
    </row>
    <row r="455" spans="1:6" ht="72" customHeight="1" x14ac:dyDescent="0.2">
      <c r="A455" s="4" t="str">
        <f ca="1">IFERROR(__xludf.DUMMYFUNCTION("""COMPUTED_VALUE"""),"«ДАЛИОН: ТРЕНД 2.0»")</f>
        <v>«ДАЛИОН: ТРЕНД 2.0»</v>
      </c>
      <c r="B455" s="4" t="str">
        <f ca="1">IFERROR(__xludf.DUMMYFUNCTION("""COMPUTED_VALUE"""),"с ЕГАИС (без CheckMark2), МЕГАМАРКЕТ")</f>
        <v>с ЕГАИС (без CheckMark2), МЕГАМАРКЕТ</v>
      </c>
      <c r="C455" s="4" t="str">
        <f ca="1">IFERROR(__xludf.DUMMYFUNCTION("""COMPUTED_VALUE"""),"SSY1-RTL15CEV-DALIONTREND2")</f>
        <v>SSY1-RTL15CEV-DALIONTREND2</v>
      </c>
      <c r="D455" s="4" t="str">
        <f ca="1">IFERROR(__xludf.DUMMYFUNCTION("""COMPUTED_VALUE"""),"Продление подписки на обновления Mobile SMARTS: Магазин 15 с ЕГАИС (без CheckMark2), МЕГАМАРКЕТ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н"&amp;"а обновления и обмен через Интернет на 1 (один) год")</f>
        <v>Продление подписки на обновления Mobile SMARTS: Магазин 15 с ЕГАИС (без CheckMark2), МЕГАМАРКЕТ для «ДАЛИОН: ТРЕНД 2.0»,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5" s="4" t="str">
        <f ca="1">IFERROR(__xludf.DUMMYFUNCTION("""COMPUTED_VALUE"""),"Продление подписки на обновления Mobile SMARTS: Магазин 15 с ЕГАИС (без CheckMark2), МЕГАМАРКЕТ для «ДАЛИОН: ТРЕНД 2.0»,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«ДАЛИОН: ТРЕНД 2.0», для работы с маркированным товаром: алкоголь ЕГАИС и товары по штрихкодам  на 1 (один) год</v>
      </c>
      <c r="F455" s="5">
        <f ca="1">IFERROR(__xludf.DUMMYFUNCTION("""COMPUTED_VALUE"""),4770)</f>
        <v>4770</v>
      </c>
    </row>
    <row r="456" spans="1:6" ht="72" customHeight="1" x14ac:dyDescent="0.2">
      <c r="A456" s="4" t="str">
        <f ca="1">IFERROR(__xludf.DUMMYFUNCTION("""COMPUTED_VALUE"""),"«ДАЛИОН: ТРЕНД 3.0»")</f>
        <v>«ДАЛИОН: ТРЕНД 3.0»</v>
      </c>
      <c r="B456" s="4" t="str">
        <f ca="1">IFERROR(__xludf.DUMMYFUNCTION("""COMPUTED_VALUE"""),"МИНИМУМ")</f>
        <v>МИНИМУМ</v>
      </c>
      <c r="C456" s="4" t="str">
        <f ca="1">IFERROR(__xludf.DUMMYFUNCTION("""COMPUTED_VALUE"""),"SSY1-RTL15M-DALIONTREND30")</f>
        <v>SSY1-RTL15M-DALIONTREND30</v>
      </c>
      <c r="D456" s="4" t="str">
        <f ca="1">IFERROR(__xludf.DUMMYFUNCTION("""COMPUTED_VALUE"""),"Продление подписки на обновления Mobile SMARTS: Магазин 15, МИНИМУМ для «ДАЛИОН: ТРЕНД 3.0»,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инвентаризация"&amp;",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"&amp;"Интернет на 1 (один) год")</f>
        <v>Продление подписки на обновления Mobile SMARTS: Магазин 15, МИНИМУМ для «ДАЛИОН: ТРЕНД 3.0»,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56" s="4" t="str">
        <f ca="1">IFERROR(__xludf.DUMMYFUNCTION("""COMPUTED_VALUE"""),"Продление подписки на обновления Mobile SMARTS: Магазин 15, МИНИМУМ для «ДАЛИОН: ТРЕНД 3.0», для работы с товаром по штрихкодам  на 1 (один) год")</f>
        <v>Продление подписки на обновления Mobile SMARTS: Магазин 15, МИНИМУМ для «ДАЛИОН: ТРЕНД 3.0», для работы с товаром по штрихкодам  на 1 (один) год</v>
      </c>
      <c r="F456" s="5">
        <f ca="1">IFERROR(__xludf.DUMMYFUNCTION("""COMPUTED_VALUE"""),690)</f>
        <v>690</v>
      </c>
    </row>
    <row r="457" spans="1:6" ht="72" customHeight="1" x14ac:dyDescent="0.2">
      <c r="A457" s="4" t="str">
        <f ca="1">IFERROR(__xludf.DUMMYFUNCTION("""COMPUTED_VALUE"""),"«ДАЛИОН: ТРЕНД 3.0»")</f>
        <v>«ДАЛИОН: ТРЕНД 3.0»</v>
      </c>
      <c r="B457" s="4" t="str">
        <f ca="1">IFERROR(__xludf.DUMMYFUNCTION("""COMPUTED_VALUE"""),"БАЗОВЫЙ")</f>
        <v>БАЗОВЫЙ</v>
      </c>
      <c r="C457" s="4" t="str">
        <f ca="1">IFERROR(__xludf.DUMMYFUNCTION("""COMPUTED_VALUE"""),"SSY1-RTL15A-DALIONTREND30")</f>
        <v>SSY1-RTL15A-DALIONTREND30</v>
      </c>
      <c r="D457" s="4" t="str">
        <f ca="1">IFERROR(__xludf.DUMMYFUNCTION("""COMPUTED_VALUE"""),"Продление подписки на обновления Mobile SMARTS: Магазин 15, БАЗОВЫЙ для «ДАЛИОН: ТРЕНД 3.0»,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пе"&amp;"реоценка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и"&amp;"зменение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«ДАЛИОН: ТРЕНД 3.0»,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7" s="4" t="str">
        <f ca="1">IFERROR(__xludf.DUMMYFUNCTION("""COMPUTED_VALUE"""),"Продление подписки на обновления Mobile SMARTS: Магазин 15, БАЗОВЫЙ для «ДАЛИОН: ТРЕНД 3.0», для работы с товаром по штрихкодам  на 1 (один) год")</f>
        <v>Продление подписки на обновления Mobile SMARTS: Магазин 15, БАЗОВЫЙ для «ДАЛИОН: ТРЕНД 3.0», для работы с товаром по штрихкодам  на 1 (один) год</v>
      </c>
      <c r="F457" s="5">
        <f ca="1">IFERROR(__xludf.DUMMYFUNCTION("""COMPUTED_VALUE"""),1730)</f>
        <v>1730</v>
      </c>
    </row>
    <row r="458" spans="1:6" ht="72" customHeight="1" x14ac:dyDescent="0.2">
      <c r="A458" s="4" t="str">
        <f ca="1">IFERROR(__xludf.DUMMYFUNCTION("""COMPUTED_VALUE"""),"«ДАЛИОН: ТРЕНД 3.0»")</f>
        <v>«ДАЛИОН: ТРЕНД 3.0»</v>
      </c>
      <c r="B458" s="4" t="str">
        <f ca="1">IFERROR(__xludf.DUMMYFUNCTION("""COMPUTED_VALUE"""),"РАСШИРЕННЫЙ")</f>
        <v>РАСШИРЕННЫЙ</v>
      </c>
      <c r="C458" s="4" t="str">
        <f ca="1">IFERROR(__xludf.DUMMYFUNCTION("""COMPUTED_VALUE"""),"SSY1-RTL15B-DALIONTREND30")</f>
        <v>SSY1-RTL15B-DALIONTREND30</v>
      </c>
      <c r="D458" s="4" t="str">
        <f ca="1">IFERROR(__xludf.DUMMYFUNCTION("""COMPUTED_VALUE"""),"Продление подписки на обновления Mobile SMARTS: Магазин 15, РАСШИРЕННЫЙ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инвентаризация"&amp;",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экране"&amp;"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8" s="4" t="str">
        <f ca="1">IFERROR(__xludf.DUMMYFUNCTION("""COMPUTED_VALUE"""),"Продление подписки на обновления Mobile SMARTS: Магазин 15, РАСШИРЕННЫЙ для «ДАЛИОН: ТРЕНД 3.0», для работы с товаром по штрихкодам  на 1 (один) год")</f>
        <v>Продление подписки на обновления Mobile SMARTS: Магазин 15, РАСШИРЕННЫЙ для «ДАЛИОН: ТРЕНД 3.0», для работы с товаром по штрихкодам  на 1 (один) год</v>
      </c>
      <c r="F458" s="5">
        <f ca="1">IFERROR(__xludf.DUMMYFUNCTION("""COMPUTED_VALUE"""),3010)</f>
        <v>3010</v>
      </c>
    </row>
    <row r="459" spans="1:6" ht="72" customHeight="1" x14ac:dyDescent="0.2">
      <c r="A459" s="4" t="str">
        <f ca="1">IFERROR(__xludf.DUMMYFUNCTION("""COMPUTED_VALUE"""),"«ДАЛИОН: ТРЕНД 3.0»")</f>
        <v>«ДАЛИОН: ТРЕНД 3.0»</v>
      </c>
      <c r="B459" s="4" t="str">
        <f ca="1">IFERROR(__xludf.DUMMYFUNCTION("""COMPUTED_VALUE"""),"МЕГАМАРКЕТ")</f>
        <v>МЕГАМАРКЕТ</v>
      </c>
      <c r="C459" s="4" t="str">
        <f ca="1">IFERROR(__xludf.DUMMYFUNCTION("""COMPUTED_VALUE"""),"SSY1-RTL15C-DALIONTREND30")</f>
        <v>SSY1-RTL15C-DALIONTREND30</v>
      </c>
      <c r="D459" s="4" t="str">
        <f ca="1">IFERROR(__xludf.DUMMYFUNCTION("""COMPUTED_VALUE"""),"Продление подписки на обновления Mobile SMARTS: Магазин 15, МЕГАМАРКЕТ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инвентаризация,"&amp;"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остатк"&amp;"ах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«ДАЛИОН: ТРЕНД 3.0»,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59" s="4" t="str">
        <f ca="1">IFERROR(__xludf.DUMMYFUNCTION("""COMPUTED_VALUE"""),"Продление подписки на обновления Mobile SMARTS: Магазин 15, МЕГАМАРКЕТ для «ДАЛИОН: ТРЕНД 3.0», для работы с товаром по штрихкодам  на 1 (один) год")</f>
        <v>Продление подписки на обновления Mobile SMARTS: Магазин 15, МЕГАМАРКЕТ для «ДАЛИОН: ТРЕНД 3.0», для работы с товаром по штрихкодам  на 1 (один) год</v>
      </c>
      <c r="F459" s="5">
        <f ca="1">IFERROR(__xludf.DUMMYFUNCTION("""COMPUTED_VALUE"""),4310)</f>
        <v>4310</v>
      </c>
    </row>
    <row r="460" spans="1:6" ht="72" customHeight="1" x14ac:dyDescent="0.2">
      <c r="A460" s="4" t="str">
        <f ca="1">IFERROR(__xludf.DUMMYFUNCTION("""COMPUTED_VALUE"""),"«ДАЛИОН: ТРЕНД 3.0»")</f>
        <v>«ДАЛИОН: ТРЕНД 3.0»</v>
      </c>
      <c r="B460" s="4" t="str">
        <f ca="1">IFERROR(__xludf.DUMMYFUNCTION("""COMPUTED_VALUE"""),"с ЕГАИС, БАЗОВЫЙ")</f>
        <v>с ЕГАИС, БАЗОВЫЙ</v>
      </c>
      <c r="C460" s="4" t="str">
        <f ca="1">IFERROR(__xludf.DUMMYFUNCTION("""COMPUTED_VALUE"""),"SSY1-RTL15AE-DALIONTREND30")</f>
        <v>SSY1-RTL15AE-DALIONTREND30</v>
      </c>
      <c r="D460" s="4" t="str">
        <f ca="1">IFERROR(__xludf.DUMMYFUNCTION("""COMPUTED_VALUE"""),"Продление подписки на обновления Mobile SMARTS: Магазин 15 с ЕГАИС, БАЗОВЫЙ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дост"&amp;"упные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мобильны"&amp;"й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(оди"&amp;"н) год")</f>
        <v>Продление подписки на обновления Mobile SMARTS: Магазин 15 с ЕГАИС, БАЗОВЫЙ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60" s="4" t="str">
        <f ca="1">IFERROR(__xludf.DUMMYFUNCTION("""COMPUTED_VALUE"""),"Продление подписки на обновления Mobile SMARTS: Магазин 15 с ЕГАИС, БАЗОВЫЙ для «ДАЛИОН: ТРЕНД 3.0»,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«ДАЛИОН: ТРЕНД 3.0», для работы с маркированным товаром: алкоголь ЕГАИС и товары по штрихкодам  на 1 (один) год</v>
      </c>
      <c r="F460" s="5">
        <f ca="1">IFERROR(__xludf.DUMMYFUNCTION("""COMPUTED_VALUE"""),2200)</f>
        <v>2200</v>
      </c>
    </row>
    <row r="461" spans="1:6" ht="72" customHeight="1" x14ac:dyDescent="0.2">
      <c r="A461" s="4" t="str">
        <f ca="1">IFERROR(__xludf.DUMMYFUNCTION("""COMPUTED_VALUE"""),"«ДАЛИОН: ТРЕНД 3.0»")</f>
        <v>«ДАЛИОН: ТРЕНД 3.0»</v>
      </c>
      <c r="B461" s="4" t="str">
        <f ca="1">IFERROR(__xludf.DUMMYFUNCTION("""COMPUTED_VALUE"""),"с ЕГАИС, РАСШИРЕННЫЙ")</f>
        <v>с ЕГАИС, РАСШИРЕННЫЙ</v>
      </c>
      <c r="C461" s="4" t="str">
        <f ca="1">IFERROR(__xludf.DUMMYFUNCTION("""COMPUTED_VALUE"""),"SSY1-RTL15BE-DALIONTREND30")</f>
        <v>SSY1-RTL15BE-DALIONTREND30</v>
      </c>
      <c r="D461" s="4" t="str">
        <f ca="1">IFERROR(__xludf.DUMMYFUNCTION("""COMPUTED_VALUE"""),"Продление подписки на обновления Mobile SMARTS: Магазин 15 с ЕГАИС, РАСШИРЕННЫЙ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"&amp;"доступные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моби"&amp;"льный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Продление подписки на обновления Mobile SMARTS: Магазин 15 с ЕГАИС, РАСШИРЕННЫЙ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1" s="4" t="str">
        <f ca="1">IFERROR(__xludf.DUMMYFUNCTION("""COMPUTED_VALUE"""),"Продление подписки на обновления Mobile SMARTS: Магазин 15 с ЕГАИС, РАСШИРЕННЫЙ для «ДАЛИОН: ТРЕНД 3.0»,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«ДАЛИОН: ТРЕНД 3.0», для работы с маркированным товаром: алкоголь ЕГАИС и товары по штрихкодам  на 1 (один) год</v>
      </c>
      <c r="F461" s="5">
        <f ca="1">IFERROR(__xludf.DUMMYFUNCTION("""COMPUTED_VALUE"""),3490)</f>
        <v>3490</v>
      </c>
    </row>
    <row r="462" spans="1:6" ht="72" customHeight="1" x14ac:dyDescent="0.2">
      <c r="A462" s="4" t="str">
        <f ca="1">IFERROR(__xludf.DUMMYFUNCTION("""COMPUTED_VALUE"""),"«ДАЛИОН: ТРЕНД 3.0»")</f>
        <v>«ДАЛИОН: ТРЕНД 3.0»</v>
      </c>
      <c r="B462" s="4" t="str">
        <f ca="1">IFERROR(__xludf.DUMMYFUNCTION("""COMPUTED_VALUE"""),"с ЕГАИС (без CheckMark2), МЕГАМАРКЕТ")</f>
        <v>с ЕГАИС (без CheckMark2), МЕГАМАРКЕТ</v>
      </c>
      <c r="C462" s="4" t="str">
        <f ca="1">IFERROR(__xludf.DUMMYFUNCTION("""COMPUTED_VALUE"""),"SSY1-RTL15CEV-DALIONTREND30")</f>
        <v>SSY1-RTL15CEV-DALIONTREND30</v>
      </c>
      <c r="D462" s="4" t="str">
        <f ca="1">IFERROR(__xludf.DUMMYFUNCTION("""COMPUTED_VALUE"""),"Продление подписки на обновления Mobile SMARTS: Магазин 15 с ЕГАИС (без CheckMark2), МЕГАМАРКЕТ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возможности"&amp;":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н"&amp;"а обновления и обмен через Интернет на 1 (один) год")</f>
        <v>Продление подписки на обновления Mobile SMARTS: Магазин 15 с ЕГАИС (без CheckMark2), МЕГАМАРКЕТ для «ДАЛИОН: ТРЕНД 3.0»,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2" s="4" t="str">
        <f ca="1">IFERROR(__xludf.DUMMYFUNCTION("""COMPUTED_VALUE"""),"Продление подписки на обновления Mobile SMARTS: Магазин 15 с ЕГАИС (без CheckMark2), МЕГАМАРКЕТ для «ДАЛИОН: ТРЕНД 3.0»,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«ДАЛИОН: ТРЕНД 3.0», для работы с маркированным товаром: алкоголь ЕГАИС и товары по штрихкодам  на 1 (один) год</v>
      </c>
      <c r="F462" s="5">
        <f ca="1">IFERROR(__xludf.DUMMYFUNCTION("""COMPUTED_VALUE"""),4770)</f>
        <v>4770</v>
      </c>
    </row>
    <row r="463" spans="1:6" ht="72" customHeight="1" x14ac:dyDescent="0.2">
      <c r="A463" s="4" t="str">
        <f ca="1">IFERROR(__xludf.DUMMYFUNCTION("""COMPUTED_VALUE"""),"«ДАЛИОН: ТРЕНД 3.0»")</f>
        <v>«ДАЛИОН: ТРЕНД 3.0»</v>
      </c>
      <c r="B463" s="4" t="str">
        <f ca="1">IFERROR(__xludf.DUMMYFUNCTION("""COMPUTED_VALUE"""),"с МОТП, БАЗОВЫЙ")</f>
        <v>с МОТП, БАЗОВЫЙ</v>
      </c>
      <c r="C463" s="4" t="str">
        <f ca="1">IFERROR(__xludf.DUMMYFUNCTION("""COMPUTED_VALUE"""),"SSY1-RTL15AT-DALIONTREND30")</f>
        <v>SSY1-RTL15AT-DALIONTREND30</v>
      </c>
      <c r="D463" s="4" t="str">
        <f ca="1">IFERROR(__xludf.DUMMYFUNCTION("""COMPUTED_VALUE"""),"Продление подписки на обновления Mobile SMARTS: Магазин 15 с МОТП, БАЗОВЫЙ для «ДАЛИОН: ТРЕНД 3.0»,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опер"&amp;"ации: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возмож"&amp;"ности: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(од"&amp;"ин) год")</f>
        <v>Продление подписки на обновления Mobile SMARTS: Магазин 15 с МОТП, БАЗОВЫЙ для «ДАЛИОН: ТРЕНД 3.0»,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3" s="4" t="str">
        <f ca="1">IFERROR(__xludf.DUMMYFUNCTION("""COMPUTED_VALUE"""),"Продление подписки на обновления Mobile SMARTS: Магазин 15 с МОТП, БАЗОВЫЙ для «ДАЛИОН: ТРЕНД 3.0» на 1 (один) год")</f>
        <v>Продление подписки на обновления Mobile SMARTS: Магазин 15 с МОТП, БАЗОВЫЙ для «ДАЛИОН: ТРЕНД 3.0» на 1 (один) год</v>
      </c>
      <c r="F463" s="5">
        <f ca="1">IFERROR(__xludf.DUMMYFUNCTION("""COMPUTED_VALUE"""),2230)</f>
        <v>2230</v>
      </c>
    </row>
    <row r="464" spans="1:6" ht="72" customHeight="1" x14ac:dyDescent="0.2">
      <c r="A464" s="4" t="str">
        <f ca="1">IFERROR(__xludf.DUMMYFUNCTION("""COMPUTED_VALUE"""),"«ДАЛИОН: ТРЕНД 3.0»")</f>
        <v>«ДАЛИОН: ТРЕНД 3.0»</v>
      </c>
      <c r="B464" s="4" t="str">
        <f ca="1">IFERROR(__xludf.DUMMYFUNCTION("""COMPUTED_VALUE"""),"с МОТП, РАСШИРЕННЫЙ")</f>
        <v>с МОТП, РАСШИРЕННЫЙ</v>
      </c>
      <c r="C464" s="4" t="str">
        <f ca="1">IFERROR(__xludf.DUMMYFUNCTION("""COMPUTED_VALUE"""),"SSY1-RTL15BT-DALIONTREND30")</f>
        <v>SSY1-RTL15BT-DALIONTREND30</v>
      </c>
      <c r="D464" s="4" t="str">
        <f ca="1">IFERROR(__xludf.DUMMYFUNCTION("""COMPUTED_VALUE"""),"Продление подписки на обновления Mobile SMARTS: Магазин 15 с МОТП, РАСШИРЕННЫЙ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"&amp;"операции: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во"&amp;"зможности: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1"&amp;" (один) год")</f>
        <v>Продление подписки на обновления Mobile SMARTS: Магазин 15 с МОТП, РАСШИРЕННЫЙ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4" s="4" t="str">
        <f ca="1">IFERROR(__xludf.DUMMYFUNCTION("""COMPUTED_VALUE"""),"Продление подписки на обновления Mobile SMARTS: Магазин 15 с МОТП, РАСШИРЕННЫЙ для «ДАЛИОН: ТРЕНД 3.0» на 1 (один) год")</f>
        <v>Продление подписки на обновления Mobile SMARTS: Магазин 15 с МОТП, РАСШИРЕННЫЙ для «ДАЛИОН: ТРЕНД 3.0» на 1 (один) год</v>
      </c>
      <c r="F464" s="5">
        <f ca="1">IFERROR(__xludf.DUMMYFUNCTION("""COMPUTED_VALUE"""),3490)</f>
        <v>3490</v>
      </c>
    </row>
    <row r="465" spans="1:6" ht="72" customHeight="1" x14ac:dyDescent="0.2">
      <c r="A465" s="4" t="str">
        <f ca="1">IFERROR(__xludf.DUMMYFUNCTION("""COMPUTED_VALUE"""),"«ДАЛИОН: ТРЕНД 3.0»")</f>
        <v>«ДАЛИОН: ТРЕНД 3.0»</v>
      </c>
      <c r="B465" s="4" t="str">
        <f ca="1">IFERROR(__xludf.DUMMYFUNCTION("""COMPUTED_VALUE"""),"с МОТП, МЕГАМАРКЕТ")</f>
        <v>с МОТП, МЕГАМАРКЕТ</v>
      </c>
      <c r="C465" s="4" t="str">
        <f ca="1">IFERROR(__xludf.DUMMYFUNCTION("""COMPUTED_VALUE"""),"SSY1-RTL15CT-DALIONTREND30")</f>
        <v>SSY1-RTL15CT-DALIONTREND30</v>
      </c>
      <c r="D465" s="4" t="str">
        <f ca="1">IFERROR(__xludf.DUMMYFUNCTION("""COMPUTED_VALUE"""),"Продление подписки на обновления Mobile SMARTS: Магазин 15 с МОТП, МЕГАМАРКЕТ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о"&amp;"перации: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воз"&amp;"можности: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 с МОТП, МЕГАМАРКЕТ для «ДАЛИОН: ТРЕНД 3.0»,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5" s="4" t="str">
        <f ca="1">IFERROR(__xludf.DUMMYFUNCTION("""COMPUTED_VALUE"""),"Продление подписки на обновления Mobile SMARTS: Магазин 15 с МОТП, МЕГАМАРКЕТ для «ДАЛИОН: ТРЕНД 3.0» на 1 (один) год")</f>
        <v>Продление подписки на обновления Mobile SMARTS: Магазин 15 с МОТП, МЕГАМАРКЕТ для «ДАЛИОН: ТРЕНД 3.0» на 1 (один) год</v>
      </c>
      <c r="F465" s="5">
        <f ca="1">IFERROR(__xludf.DUMMYFUNCTION("""COMPUTED_VALUE"""),4770)</f>
        <v>4770</v>
      </c>
    </row>
    <row r="466" spans="1:6" ht="72" customHeight="1" x14ac:dyDescent="0.2">
      <c r="A466" s="4" t="str">
        <f ca="1">IFERROR(__xludf.DUMMYFUNCTION("""COMPUTED_VALUE"""),"«ДАЛИОН: ТРЕНД 3.0»")</f>
        <v>«ДАЛИОН: ТРЕНД 3.0»</v>
      </c>
      <c r="B466" s="4" t="str">
        <f ca="1">IFERROR(__xludf.DUMMYFUNCTION("""COMPUTED_VALUE"""),"с ЕГАИС и МОТП, БАЗОВЫЙ")</f>
        <v>с ЕГАИС и МОТП, БАЗОВЫЙ</v>
      </c>
      <c r="C466" s="4" t="str">
        <f ca="1">IFERROR(__xludf.DUMMYFUNCTION("""COMPUTED_VALUE"""),"SSY1-RTL15AET-DALIONTREND30")</f>
        <v>SSY1-RTL15AET-DALIONTREND30</v>
      </c>
      <c r="D466" s="4" t="str">
        <f ca="1">IFERROR(__xludf.DUMMYFUNCTION("""COMPUTED_VALUE"""),"Продление подписки на обновления Mobile SMARTS: Магазин 15 с ЕГАИС и МОТП, БАЗОВЫЙ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нет онлайн"&amp;"а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пе"&amp;"ремещение,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сущест"&amp;"вующих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6" s="4" t="str">
        <f ca="1">IFERROR(__xludf.DUMMYFUNCTION("""COMPUTED_VALUE"""),"Продление подписки на обновления Mobile SMARTS: Магазин 15 с ЕГАИС и МОТП, БАЗОВЫЙ для «ДАЛИОН: ТРЕНД 3.0» на 1 (один) год")</f>
        <v>Продление подписки на обновления Mobile SMARTS: Магазин 15 с ЕГАИС и МОТП, БАЗОВЫЙ для «ДАЛИОН: ТРЕНД 3.0» на 1 (один) год</v>
      </c>
      <c r="F466" s="5">
        <f ca="1">IFERROR(__xludf.DUMMYFUNCTION("""COMPUTED_VALUE"""),2430)</f>
        <v>2430</v>
      </c>
    </row>
    <row r="467" spans="1:6" ht="72" customHeight="1" x14ac:dyDescent="0.2">
      <c r="A467" s="4" t="str">
        <f ca="1">IFERROR(__xludf.DUMMYFUNCTION("""COMPUTED_VALUE"""),"«ДАЛИОН: ТРЕНД 3.0»")</f>
        <v>«ДАЛИОН: ТРЕНД 3.0»</v>
      </c>
      <c r="B467" s="4" t="str">
        <f ca="1">IFERROR(__xludf.DUMMYFUNCTION("""COMPUTED_VALUE"""),"с ЕГАИС и МОТП, РАСШИРЕННЫЙ")</f>
        <v>с ЕГАИС и МОТП, РАСШИРЕННЫЙ</v>
      </c>
      <c r="C467" s="4" t="str">
        <f ca="1">IFERROR(__xludf.DUMMYFUNCTION("""COMPUTED_VALUE"""),"SSY1-RTL15BET-DALIONTREND30")</f>
        <v>SSY1-RTL15BET-DALIONTREND30</v>
      </c>
      <c r="D467" s="4" t="str">
        <f ca="1">IFERROR(__xludf.DUMMYFUNCTION("""COMPUTED_VALUE"""),"Продление подписки на обновления Mobile SMARTS: Магазин 15 с ЕГАИС и МОТП, РАСШИРЕННЫЙ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О"&amp;"НЛАЙН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КМ)"&amp;",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су"&amp;"ществующих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7" s="4" t="str">
        <f ca="1">IFERROR(__xludf.DUMMYFUNCTION("""COMPUTED_VALUE"""),"Продление подписки на обновления Mobile SMARTS: Магазин 15 с ЕГАИС и МОТП, РАСШИРЕННЫЙ для «ДАЛИОН: ТРЕНД 3.0» на 1 (один) год")</f>
        <v>Продление подписки на обновления Mobile SMARTS: Магазин 15 с ЕГАИС и МОТП, РАСШИРЕННЫЙ для «ДАЛИОН: ТРЕНД 3.0» на 1 (один) год</v>
      </c>
      <c r="F467" s="5">
        <f ca="1">IFERROR(__xludf.DUMMYFUNCTION("""COMPUTED_VALUE"""),3710)</f>
        <v>3710</v>
      </c>
    </row>
    <row r="468" spans="1:6" ht="72" customHeight="1" x14ac:dyDescent="0.2">
      <c r="A468" s="4" t="str">
        <f ca="1">IFERROR(__xludf.DUMMYFUNCTION("""COMPUTED_VALUE"""),"«ДАЛИОН: ТРЕНД 3.0»")</f>
        <v>«ДАЛИОН: ТРЕНД 3.0»</v>
      </c>
      <c r="B468" s="4" t="str">
        <f ca="1">IFERROR(__xludf.DUMMYFUNCTION("""COMPUTED_VALUE"""),"с ЕГАИС и МОТП, МЕГАМАРКЕТ")</f>
        <v>с ЕГАИС и МОТП, МЕГАМАРКЕТ</v>
      </c>
      <c r="C468" s="4" t="str">
        <f ca="1">IFERROR(__xludf.DUMMYFUNCTION("""COMPUTED_VALUE"""),"SSY1-RTL15CET-DALIONTREND30")</f>
        <v>SSY1-RTL15CET-DALIONTREND30</v>
      </c>
      <c r="D468" s="4" t="str">
        <f ca="1">IFERROR(__xludf.DUMMYFUNCTION("""COMPUTED_VALUE"""),"Продление подписки на обновления Mobile SMARTS: Магазин 15 с ЕГАИС и МОТП, МЕГАМАРКЕТ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ОН"&amp;"ЛАЙН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КМ),"&amp;"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«ДАЛИОН: ТРЕНД 3.0»,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8" s="4" t="str">
        <f ca="1">IFERROR(__xludf.DUMMYFUNCTION("""COMPUTED_VALUE"""),"Продление подписки на обновления Mobile SMARTS: Магазин 15 с ЕГАИС и МОТП, МЕГАМАРКЕТ для «ДАЛИОН: ТРЕНД 3.0» на 1 (один) год")</f>
        <v>Продление подписки на обновления Mobile SMARTS: Магазин 15 с ЕГАИС и МОТП, МЕГАМАРКЕТ для «ДАЛИОН: ТРЕНД 3.0» на 1 (один) год</v>
      </c>
      <c r="F468" s="5">
        <f ca="1">IFERROR(__xludf.DUMMYFUNCTION("""COMPUTED_VALUE"""),5270)</f>
        <v>5270</v>
      </c>
    </row>
    <row r="469" spans="1:6" ht="72" customHeight="1" x14ac:dyDescent="0.2">
      <c r="A469" s="4" t="str">
        <f ca="1">IFERROR(__xludf.DUMMYFUNCTION("""COMPUTED_VALUE"""),"«ДАЛИОН: ТРЕНД 3.0»")</f>
        <v>«ДАЛИОН: ТРЕНД 3.0»</v>
      </c>
      <c r="B469" s="4" t="str">
        <f ca="1">IFERROR(__xludf.DUMMYFUNCTION("""COMPUTED_VALUE"""),"ШМОТКИ, БАЗОВЫЙ")</f>
        <v>ШМОТКИ, БАЗОВЫЙ</v>
      </c>
      <c r="C469" s="4" t="str">
        <f ca="1">IFERROR(__xludf.DUMMYFUNCTION("""COMPUTED_VALUE"""),"SSY1-RTL15AK-DALIONTREND30")</f>
        <v>SSY1-RTL15AK-DALIONTREND30</v>
      </c>
      <c r="D469" s="4" t="str">
        <f ca="1">IFERROR(__xludf.DUMMYFUNCTION("""COMPUTED_VALUE"""),"Продление подписки на обновления Mobile SMARTS: Магазин 15 ШМОТКИ, БАЗОВЫЙ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он"&amp;"лайна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пров"&amp;"ерка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ч"&amp;"ерез Интернет на 1 (один) год")</f>
        <v>Продление подписки на обновления Mobile SMARTS: Магазин 15 ШМОТКИ, БАЗОВЫЙ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69" s="4" t="str">
        <f ca="1">IFERROR(__xludf.DUMMYFUNCTION("""COMPUTED_VALUE"""),"Продление подписки на обновления Mobile SMARTS: Магазин 15 ШМОТКИ, БАЗОВЫЙ для «ДАЛИОН: ТРЕНД 3.0»,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БАЗОВЫЙ для «ДАЛИОН: ТРЕНД 3.0», для работы с маркированным товаром: ОБУВЬ, ОДЕЖДА, ПАРФЮМ, ШИНЫ и товары по штрихкодам  на 1 (один) год</v>
      </c>
      <c r="F469" s="5">
        <f ca="1">IFERROR(__xludf.DUMMYFUNCTION("""COMPUTED_VALUE"""),2430)</f>
        <v>2430</v>
      </c>
    </row>
    <row r="470" spans="1:6" ht="72" customHeight="1" x14ac:dyDescent="0.2">
      <c r="A470" s="4" t="str">
        <f ca="1">IFERROR(__xludf.DUMMYFUNCTION("""COMPUTED_VALUE"""),"«ДАЛИОН: ТРЕНД 3.0»")</f>
        <v>«ДАЛИОН: ТРЕНД 3.0»</v>
      </c>
      <c r="B470" s="4" t="str">
        <f ca="1">IFERROR(__xludf.DUMMYFUNCTION("""COMPUTED_VALUE"""),"ШМОТКИ, РАСШИРЕННЫЙ")</f>
        <v>ШМОТКИ, РАСШИРЕННЫЙ</v>
      </c>
      <c r="C470" s="4" t="str">
        <f ca="1">IFERROR(__xludf.DUMMYFUNCTION("""COMPUTED_VALUE"""),"SSY1-RTL15BK-DALIONTREND30")</f>
        <v>SSY1-RTL15BK-DALIONTREND30</v>
      </c>
      <c r="D470" s="4" t="str">
        <f ca="1">IFERROR(__xludf.DUMMYFUNCTION("""COMPUTED_VALUE"""),"Продление подписки на обновления Mobile SMARTS: Магазин 15 ШМОТКИ, РАСШИРЕННЫЙ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ес"&amp;"ть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"&amp;"проверка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обм"&amp;"ен через Интернет на 1 (один) год")</f>
        <v>Продление подписки на обновления Mobile SMARTS: Магазин 15 ШМОТКИ, РАСШИРЕННЫЙ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0" s="4" t="str">
        <f ca="1">IFERROR(__xludf.DUMMYFUNCTION("""COMPUTED_VALUE"""),"Продление подписки на обновления Mobile SMARTS: Магазин 15 ШМОТКИ, РАСШИРЕННЫЙ для «ДАЛИОН: ТРЕНД 3.0»,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РАСШИРЕННЫЙ для «ДАЛИОН: ТРЕНД 3.0», для работы с маркированным товаром: ОБУВЬ, ОДЕЖДА, ПАРФЮМ, ШИНЫ и товары по штрихкодам  на 1 (один) год</v>
      </c>
      <c r="F470" s="5">
        <f ca="1">IFERROR(__xludf.DUMMYFUNCTION("""COMPUTED_VALUE"""),3710)</f>
        <v>3710</v>
      </c>
    </row>
    <row r="471" spans="1:6" ht="72" customHeight="1" x14ac:dyDescent="0.2">
      <c r="A471" s="4" t="str">
        <f ca="1">IFERROR(__xludf.DUMMYFUNCTION("""COMPUTED_VALUE"""),"«ДАЛИОН: ТРЕНД 3.0»")</f>
        <v>«ДАЛИОН: ТРЕНД 3.0»</v>
      </c>
      <c r="B471" s="4" t="str">
        <f ca="1">IFERROR(__xludf.DUMMYFUNCTION("""COMPUTED_VALUE"""),"ШМОТКИ, МЕГАМАРКЕТ")</f>
        <v>ШМОТКИ, МЕГАМАРКЕТ</v>
      </c>
      <c r="C471" s="4" t="str">
        <f ca="1">IFERROR(__xludf.DUMMYFUNCTION("""COMPUTED_VALUE"""),"SSY1-RTL15CK-DALIONTREND30")</f>
        <v>SSY1-RTL15CK-DALIONTREND30</v>
      </c>
      <c r="D471" s="4" t="str">
        <f ca="1">IFERROR(__xludf.DUMMYFUNCTION("""COMPUTED_VALUE"""),"Продление подписки на обновления Mobile SMARTS: Магазин 15 ШМОТКИ, МЕГАМАРКЕТ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ест"&amp;"ь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п"&amp;"роверка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подписка"&amp;" на обновления и обмен через Интернет на 1 (один) год")</f>
        <v>Продление подписки на обновления Mobile SMARTS: Магазин 15 ШМОТКИ, МЕГАМАРКЕТ для «ДАЛИОН: ТРЕНД 3.0»,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1" s="4" t="str">
        <f ca="1">IFERROR(__xludf.DUMMYFUNCTION("""COMPUTED_VALUE"""),"Продление подписки на обновления Mobile SMARTS: Магазин 15 ШМОТКИ, МЕГАМАРКЕТ для «ДАЛИОН: ТРЕНД 3.0», для работы с маркированным товаром: ОБУВЬ, ОДЕЖДА, ПАРФЮМ, ШИНЫ и товары по штрихкодам  на 1 (один) год")</f>
        <v>Продление подписки на обновления Mobile SMARTS: Магазин 15 ШМОТКИ, МЕГАМАРКЕТ для «ДАЛИОН: ТРЕНД 3.0», для работы с маркированным товаром: ОБУВЬ, ОДЕЖДА, ПАРФЮМ, ШИНЫ и товары по штрихкодам  на 1 (один) год</v>
      </c>
      <c r="F471" s="5">
        <f ca="1">IFERROR(__xludf.DUMMYFUNCTION("""COMPUTED_VALUE"""),5270)</f>
        <v>5270</v>
      </c>
    </row>
    <row r="472" spans="1:6" ht="72" customHeight="1" x14ac:dyDescent="0.2">
      <c r="A472" s="4" t="str">
        <f ca="1">IFERROR(__xludf.DUMMYFUNCTION("""COMPUTED_VALUE"""),"«ДАЛИОН: ТРЕНД 3.0»")</f>
        <v>«ДАЛИОН: ТРЕНД 3.0»</v>
      </c>
      <c r="B472" s="4" t="str">
        <f ca="1">IFERROR(__xludf.DUMMYFUNCTION("""COMPUTED_VALUE"""),"ПРОДУКТОВЫЙ, БАЗОВЫЙ")</f>
        <v>ПРОДУКТОВЫЙ, БАЗОВЫЙ</v>
      </c>
      <c r="C472" s="4" t="str">
        <f ca="1">IFERROR(__xludf.DUMMYFUNCTION("""COMPUTED_VALUE"""),"SSY1-RTL15AG-DALIONTREND30")</f>
        <v>SSY1-RTL15AG-DALIONTREND30</v>
      </c>
      <c r="D472" s="4" t="str">
        <f ca="1">IFERROR(__xludf.DUMMYFUNCTION("""COMPUTED_VALUE"""),"Продление подписки на обновления 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беспр"&amp;"оводной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возвр"&amp;"ат,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2" s="4" t="str">
        <f ca="1">IFERROR(__xludf.DUMMYFUNCTION("""COMPUTED_VALUE"""),"Продление подписки на обновления 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БАЗОВЫЙ для «ДАЛИОН: ТРЕНД 3.0», для работы с маркированным товаром: АЛКОГОЛЬ, ПИВО, ТАБАК, МОЛОКО, ВОДА, ОДЕЖДА, ОБУВЬ, ДУХИ, ШИНЫ и товаром по штрихкодам  на 1 (один) год</v>
      </c>
      <c r="F472" s="5">
        <f ca="1">IFERROR(__xludf.DUMMYFUNCTION("""COMPUTED_VALUE"""),2910)</f>
        <v>2910</v>
      </c>
    </row>
    <row r="473" spans="1:6" ht="72" customHeight="1" x14ac:dyDescent="0.2">
      <c r="A473" s="4" t="str">
        <f ca="1">IFERROR(__xludf.DUMMYFUNCTION("""COMPUTED_VALUE"""),"«ДАЛИОН: ТРЕНД 3.0»")</f>
        <v>«ДАЛИОН: ТРЕНД 3.0»</v>
      </c>
      <c r="B473" s="4" t="str">
        <f ca="1">IFERROR(__xludf.DUMMYFUNCTION("""COMPUTED_VALUE"""),"ПРОДУКТОВЫЙ, РАСШИРЕННЫЙ")</f>
        <v>ПРОДУКТОВЫЙ, РАСШИРЕННЫЙ</v>
      </c>
      <c r="C473" s="4" t="str">
        <f ca="1">IFERROR(__xludf.DUMMYFUNCTION("""COMPUTED_VALUE"""),"SSY1-RTL15BG-DALIONTREND30")</f>
        <v>SSY1-RTL15BG-DALIONTREND30</v>
      </c>
      <c r="D473" s="4" t="str">
        <f ca="1">IFERROR(__xludf.DUMMYFUNCTION("""COMPUTED_VALUE"""),"Продление подписки на обновления 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б"&amp;"еспроводной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в"&amp;"озврат,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контрагент"&amp;"ах,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3" s="4" t="str">
        <f ca="1">IFERROR(__xludf.DUMMYFUNCTION("""COMPUTED_VALUE"""),"Продление подписки на обновления 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РАСШИРЕННЫЙ для «ДАЛИОН: ТРЕНД 3.0», для работы с маркированным товаром: АЛКОГОЛЬ, ПИВО, ТАБАК, МОЛОКО, ВОДА, ОДЕЖДА, ОБУВЬ, ДУХИ, ШИНЫ и товаром по штрихкодам  на 1 (один) год</v>
      </c>
      <c r="F473" s="5">
        <f ca="1">IFERROR(__xludf.DUMMYFUNCTION("""COMPUTED_VALUE"""),4190)</f>
        <v>4190</v>
      </c>
    </row>
    <row r="474" spans="1:6" ht="72" customHeight="1" x14ac:dyDescent="0.2">
      <c r="A474" s="4" t="str">
        <f ca="1">IFERROR(__xludf.DUMMYFUNCTION("""COMPUTED_VALUE"""),"«ДАЛИОН: ТРЕНД 3.0»")</f>
        <v>«ДАЛИОН: ТРЕНД 3.0»</v>
      </c>
      <c r="B474" s="4" t="str">
        <f ca="1">IFERROR(__xludf.DUMMYFUNCTION("""COMPUTED_VALUE"""),"ПРОДУКТОВЫЙ, МЕГАМАРКЕТ")</f>
        <v>ПРОДУКТОВЫЙ, МЕГАМАРКЕТ</v>
      </c>
      <c r="C474" s="4" t="str">
        <f ca="1">IFERROR(__xludf.DUMMYFUNCTION("""COMPUTED_VALUE"""),"SSY1-RTL15CG-DALIONTREND30")</f>
        <v>SSY1-RTL15CG-DALIONTREND30</v>
      </c>
      <c r="D474" s="4" t="str">
        <f ca="1">IFERROR(__xludf.DUMMYFUNCTION("""COMPUTED_VALUE"""),"Продление подписки на обновления 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бе"&amp;"спроводной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во"&amp;"зврат,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товаре,"&amp;"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4" s="4" t="str">
        <f ca="1">IFERROR(__xludf.DUMMYFUNCTION("""COMPUTED_VALUE"""),"Продление подписки на обновления 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 на 1 (один) год")</f>
        <v>Продление подписки на обновления Mobile SMARTS: Магазин 15 ПРОДУКТОВЫЙ, МЕГАМАРКЕТ для «ДАЛИОН: ТРЕНД 3.0», для работы с маркированным товаром: АЛКОГОЛЬ, ПИВО, ТАБАК, МОЛОКО, ВОДА, ОДЕЖДА, ОБУВЬ, ДУХИ, ШИНЫ и товаром по штрихкодам  на 1 (один) год</v>
      </c>
      <c r="F474" s="5">
        <f ca="1">IFERROR(__xludf.DUMMYFUNCTION("""COMPUTED_VALUE"""),5650)</f>
        <v>5650</v>
      </c>
    </row>
    <row r="475" spans="1:6" ht="72" customHeight="1" x14ac:dyDescent="0.2">
      <c r="A475" s="4"/>
      <c r="B475" s="4"/>
      <c r="C475" s="4" t="str">
        <f ca="1">IFERROR(__xludf.DUMMYFUNCTION("""COMPUTED_VALUE"""),"SSY1-")</f>
        <v>SSY1-</v>
      </c>
      <c r="D475" s="4" t="str">
        <f ca="1">IFERROR(__xludf.DUMMYFUNCTION("""COMPUTED_VALUE"""),"Продление подписки на обновления Лицензии для «Астор» стандартные")</f>
        <v>Продление подписки на обновления Лицензии для «Астор» стандартные</v>
      </c>
      <c r="E475" s="4" t="str">
        <f ca="1">IFERROR(__xludf.DUMMYFUNCTION("""COMPUTED_VALUE"""),"#VALUE!")</f>
        <v>#VALUE!</v>
      </c>
      <c r="F475" s="4" t="str">
        <f ca="1">IFERROR(__xludf.DUMMYFUNCTION("""COMPUTED_VALUE"""),"#N/A")</f>
        <v>#N/A</v>
      </c>
    </row>
    <row r="476" spans="1:6" ht="72" customHeight="1" x14ac:dyDescent="0.2">
      <c r="A476" s="4" t="str">
        <f ca="1">IFERROR(__xludf.DUMMYFUNCTION("""COMPUTED_VALUE"""),"«АСТОР: Ваш магазин 7 SE»")</f>
        <v>«АСТОР: Ваш магазин 7 SE»</v>
      </c>
      <c r="B476" s="4" t="str">
        <f ca="1">IFERROR(__xludf.DUMMYFUNCTION("""COMPUTED_VALUE"""),"МИНИМУМ")</f>
        <v>МИНИМУМ</v>
      </c>
      <c r="C476" s="4" t="str">
        <f ca="1">IFERROR(__xludf.DUMMYFUNCTION("""COMPUTED_VALUE"""),"SSY1-RTL15M-ASTORYM7SE")</f>
        <v>SSY1-RTL15M-ASTORYM7SE</v>
      </c>
      <c r="D476" s="4" t="str">
        <f ca="1">IFERROR(__xludf.DUMMYFUNCTION("""COMPUTED_VALUE"""),"Продление подписки на обновления Mobile SMARTS: Магазин 15, МИНИМУМ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инвентар"&amp;"изация,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"&amp;"через Интернет на 1 (один) год")</f>
        <v>Продление подписки на обновления Mobile SMARTS: Магазин 15, МИНИМУМ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76" s="4" t="str">
        <f ca="1">IFERROR(__xludf.DUMMYFUNCTION("""COMPUTED_VALUE"""),"Продление подписки на обновления Mobile SMARTS: Магазин 15, МИНИМУМ для «АСТОР: Ваш магазин 7 SE», для работы с товаром по штрихкодам  на 1 (один) год")</f>
        <v>Продление подписки на обновления Mobile SMARTS: Магазин 15, МИНИМУМ для «АСТОР: Ваш магазин 7 SE», для работы с товаром по штрихкодам  на 1 (один) год</v>
      </c>
      <c r="F476" s="5">
        <f ca="1">IFERROR(__xludf.DUMMYFUNCTION("""COMPUTED_VALUE"""),690)</f>
        <v>690</v>
      </c>
    </row>
    <row r="477" spans="1:6" ht="72" customHeight="1" x14ac:dyDescent="0.2">
      <c r="A477" s="4" t="str">
        <f ca="1">IFERROR(__xludf.DUMMYFUNCTION("""COMPUTED_VALUE"""),"«АСТОР: Ваш магазин 7 SE»")</f>
        <v>«АСТОР: Ваш магазин 7 SE»</v>
      </c>
      <c r="B477" s="4" t="str">
        <f ca="1">IFERROR(__xludf.DUMMYFUNCTION("""COMPUTED_VALUE"""),"БАЗОВЫЙ")</f>
        <v>БАЗОВЫЙ</v>
      </c>
      <c r="C477" s="4" t="str">
        <f ca="1">IFERROR(__xludf.DUMMYFUNCTION("""COMPUTED_VALUE"""),"SSY1-RTL15A-ASTORYM7SE")</f>
        <v>SSY1-RTL15A-ASTORYM7SE</v>
      </c>
      <c r="D477" s="4" t="str">
        <f ca="1">IFERROR(__xludf.DUMMYFUNCTION("""COMPUTED_VALUE"""),"Продление подписки на обновления Mobile SMARTS: Магазин 15, БАЗОВЫЙ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инвентаризац"&amp;"ия,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экра"&amp;"не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«АСТОР: Ваш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7" s="4" t="str">
        <f ca="1">IFERROR(__xludf.DUMMYFUNCTION("""COMPUTED_VALUE"""),"Продление подписки на обновления Mobile SMARTS: Магазин 15, БАЗОВЫЙ для «АСТОР: Ваш магазин 7 SE», для работы с товаром по штрихкодам  на 1 (один) год")</f>
        <v>Продление подписки на обновления Mobile SMARTS: Магазин 15, БАЗОВЫЙ для «АСТОР: Ваш магазин 7 SE», для работы с товаром по штрихкодам  на 1 (один) год</v>
      </c>
      <c r="F477" s="5">
        <f ca="1">IFERROR(__xludf.DUMMYFUNCTION("""COMPUTED_VALUE"""),1730)</f>
        <v>1730</v>
      </c>
    </row>
    <row r="478" spans="1:6" ht="72" customHeight="1" x14ac:dyDescent="0.2">
      <c r="A478" s="4" t="str">
        <f ca="1">IFERROR(__xludf.DUMMYFUNCTION("""COMPUTED_VALUE"""),"«АСТОР: Ваш магазин 7 SE»")</f>
        <v>«АСТОР: Ваш магазин 7 SE»</v>
      </c>
      <c r="B478" s="4" t="str">
        <f ca="1">IFERROR(__xludf.DUMMYFUNCTION("""COMPUTED_VALUE"""),"РАСШИРЕННЫЙ")</f>
        <v>РАСШИРЕННЫЙ</v>
      </c>
      <c r="C478" s="4" t="str">
        <f ca="1">IFERROR(__xludf.DUMMYFUNCTION("""COMPUTED_VALUE"""),"SSY1-RTL15B-ASTORYM7SE")</f>
        <v>SSY1-RTL15B-ASTORYM7SE</v>
      </c>
      <c r="D478" s="4" t="str">
        <f ca="1">IFERROR(__xludf.DUMMYFUNCTION("""COMPUTED_VALUE"""),"Продление подписки на обновления Mobile SMARTS: Магазин 15, РАСШИРЕННЫЙ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инвентар"&amp;"изация,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"&amp;"экране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8" s="4" t="str">
        <f ca="1">IFERROR(__xludf.DUMMYFUNCTION("""COMPUTED_VALUE"""),"Продление подписки на обновления Mobile SMARTS: Магазин 15, РАСШИРЕННЫЙ для «АСТОР: Ваш магазин 7 SE», для работы с товаром по штрихкодам  на 1 (один) год")</f>
        <v>Продление подписки на обновления Mobile SMARTS: Магазин 15, РАСШИРЕННЫЙ для «АСТОР: Ваш магазин 7 SE», для работы с товаром по штрихкодам  на 1 (один) год</v>
      </c>
      <c r="F478" s="5">
        <f ca="1">IFERROR(__xludf.DUMMYFUNCTION("""COMPUTED_VALUE"""),3010)</f>
        <v>3010</v>
      </c>
    </row>
    <row r="479" spans="1:6" ht="72" customHeight="1" x14ac:dyDescent="0.2">
      <c r="A479" s="4" t="str">
        <f ca="1">IFERROR(__xludf.DUMMYFUNCTION("""COMPUTED_VALUE"""),"«АСТОР: Ваш магазин 7 SE»")</f>
        <v>«АСТОР: Ваш магазин 7 SE»</v>
      </c>
      <c r="B479" s="4" t="str">
        <f ca="1">IFERROR(__xludf.DUMMYFUNCTION("""COMPUTED_VALUE"""),"МЕГАМАРКЕТ")</f>
        <v>МЕГАМАРКЕТ</v>
      </c>
      <c r="C479" s="4" t="str">
        <f ca="1">IFERROR(__xludf.DUMMYFUNCTION("""COMPUTED_VALUE"""),"SSY1-RTL15C-ASTORYM7SE")</f>
        <v>SSY1-RTL15C-ASTORYM7SE</v>
      </c>
      <c r="D479" s="4" t="str">
        <f ca="1">IFERROR(__xludf.DUMMYFUNCTION("""COMPUTED_VALUE"""),"Продление подписки на обновления Mobile SMARTS: Магазин 15, МЕГАМАРКЕТ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инвентари"&amp;"зация,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"&amp;"остатках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«АСТОР: Ваш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79" s="4" t="str">
        <f ca="1">IFERROR(__xludf.DUMMYFUNCTION("""COMPUTED_VALUE"""),"Продление подписки на обновления Mobile SMARTS: Магазин 15, МЕГАМАРКЕТ для «АСТОР: Ваш магазин 7 SE», для работы с товаром по штрихкодам  на 1 (один) год")</f>
        <v>Продление подписки на обновления Mobile SMARTS: Магазин 15, МЕГАМАРКЕТ для «АСТОР: Ваш магазин 7 SE», для работы с товаром по штрихкодам  на 1 (один) год</v>
      </c>
      <c r="F479" s="5">
        <f ca="1">IFERROR(__xludf.DUMMYFUNCTION("""COMPUTED_VALUE"""),4310)</f>
        <v>4310</v>
      </c>
    </row>
    <row r="480" spans="1:6" ht="72" customHeight="1" x14ac:dyDescent="0.2">
      <c r="A480" s="4" t="str">
        <f ca="1">IFERROR(__xludf.DUMMYFUNCTION("""COMPUTED_VALUE"""),"«АСТОР: Ваш магазин 7 SE»")</f>
        <v>«АСТОР: Ваш магазин 7 SE»</v>
      </c>
      <c r="B480" s="4" t="str">
        <f ca="1">IFERROR(__xludf.DUMMYFUNCTION("""COMPUTED_VALUE"""),"с ЕГАИС, БАЗОВЫЙ")</f>
        <v>с ЕГАИС, БАЗОВЫЙ</v>
      </c>
      <c r="C480" s="4" t="str">
        <f ca="1">IFERROR(__xludf.DUMMYFUNCTION("""COMPUTED_VALUE"""),"SSY1-RTL15AE-ASTORYM7SE")</f>
        <v>SSY1-RTL15AE-ASTORYM7SE</v>
      </c>
      <c r="D480" s="4" t="str">
        <f ca="1">IFERROR(__xludf.DUMMYFUNCTION("""COMPUTED_VALUE"""),"Продление подписки на обновления Mobile SMARTS: Магазин 15 с ЕГАИС, БАЗОВЫЙ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нет онлайна "&amp;"/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мо"&amp;"бильный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"&amp;"1 (один) год")</f>
        <v>Продление подписки на обновления Mobile SMARTS: Магазин 15 с ЕГАИС, БАЗОВЫЙ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80" s="4" t="str">
        <f ca="1">IFERROR(__xludf.DUMMYFUNCTION("""COMPUTED_VALUE"""),"Продление подписки на обновления Mobile SMARTS: Магазин 15 с ЕГАИС, БАЗОВЫЙ для «АСТОР: Ваш магазин 7 SE»,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«АСТОР: Ваш магазин 7 SE», для работы с маркированным товаром: алкоголь ЕГАИС и товары по штрихкодам  на 1 (один) год</v>
      </c>
      <c r="F480" s="5">
        <f ca="1">IFERROR(__xludf.DUMMYFUNCTION("""COMPUTED_VALUE"""),2200)</f>
        <v>2200</v>
      </c>
    </row>
    <row r="481" spans="1:6" ht="72" customHeight="1" x14ac:dyDescent="0.2">
      <c r="A481" s="4" t="str">
        <f ca="1">IFERROR(__xludf.DUMMYFUNCTION("""COMPUTED_VALUE"""),"«АСТОР: Ваш магазин 7 SE»")</f>
        <v>«АСТОР: Ваш магазин 7 SE»</v>
      </c>
      <c r="B481" s="4" t="str">
        <f ca="1">IFERROR(__xludf.DUMMYFUNCTION("""COMPUTED_VALUE"""),"с ЕГАИС, РАСШИРЕННЫЙ")</f>
        <v>с ЕГАИС, РАСШИРЕННЫЙ</v>
      </c>
      <c r="C481" s="4" t="str">
        <f ca="1">IFERROR(__xludf.DUMMYFUNCTION("""COMPUTED_VALUE"""),"SSY1-RTL15BE-ASTORYM7SE")</f>
        <v>SSY1-RTL15BE-ASTORYM7SE</v>
      </c>
      <c r="D481" s="4" t="str">
        <f ca="1">IFERROR(__xludf.DUMMYFUNCTION("""COMPUTED_VALUE"""),"Продление подписки на обновления Mobile SMARTS: Магазин 15 с ЕГАИС, РАСШИРЕННЫЙ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ОНЛ"&amp;"АЙН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н"&amp;"а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Инт"&amp;"ернет на 1 (один) год")</f>
        <v>Продление подписки на обновления Mobile SMARTS: Магазин 15 с ЕГАИС, РАСШИРЕННЫЙ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1" s="4" t="str">
        <f ca="1">IFERROR(__xludf.DUMMYFUNCTION("""COMPUTED_VALUE"""),"Продление подписки на обновления Mobile SMARTS: Магазин 15 с ЕГАИС, РАСШИРЕННЫЙ для «АСТОР: Ваш магазин 7 SE»,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«АСТОР: Ваш магазин 7 SE», для работы с маркированным товаром: алкоголь ЕГАИС и товары по штрихкодам  на 1 (один) год</v>
      </c>
      <c r="F481" s="5">
        <f ca="1">IFERROR(__xludf.DUMMYFUNCTION("""COMPUTED_VALUE"""),3490)</f>
        <v>3490</v>
      </c>
    </row>
    <row r="482" spans="1:6" ht="72" customHeight="1" x14ac:dyDescent="0.2">
      <c r="A482" s="4" t="str">
        <f ca="1">IFERROR(__xludf.DUMMYFUNCTION("""COMPUTED_VALUE"""),"«АСТОР: Ваш магазин 7 SE»")</f>
        <v>«АСТОР: Ваш магазин 7 SE»</v>
      </c>
      <c r="B482" s="4" t="str">
        <f ca="1">IFERROR(__xludf.DUMMYFUNCTION("""COMPUTED_VALUE"""),"с ЕГАИС (без CheckMark2), МЕГАМАРКЕТ")</f>
        <v>с ЕГАИС (без CheckMark2), МЕГАМАРКЕТ</v>
      </c>
      <c r="C482" s="4" t="str">
        <f ca="1">IFERROR(__xludf.DUMMYFUNCTION("""COMPUTED_VALUE"""),"SSY1-RTL15CEV-ASTORYM7SE")</f>
        <v>SSY1-RTL15CEV-ASTORYM7SE</v>
      </c>
      <c r="D482" s="4" t="str">
        <f ca="1">IFERROR(__xludf.DUMMYFUNCTION("""COMPUTED_VALUE"""),"Продление подписки на обновления Mobile SMARTS: Магазин 15 с ЕГАИС (без CheckMark2), МЕГАМАРКЕТ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Инт"&amp;"ернет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возмо"&amp;"жности: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подп"&amp;"иска на обновления и обмен через Интернет на 1 (один) год")</f>
        <v>Продление подписки на обновления Mobile SMARTS: Магазин 15 с ЕГАИС (без CheckMark2), МЕГАМАРКЕТ для «АСТОР: Ваш магазин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2" s="4" t="str">
        <f ca="1">IFERROR(__xludf.DUMMYFUNCTION("""COMPUTED_VALUE"""),"Продление подписки на обновления Mobile SMARTS: Магазин 15 с ЕГАИС (без CheckMark2), МЕГАМАРКЕТ для «АСТОР: Ваш магазин 7 SE»,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«АСТОР: Ваш магазин 7 SE», для работы с маркированным товаром: алкоголь ЕГАИС и товары по штрихкодам  на 1 (один) год</v>
      </c>
      <c r="F482" s="5">
        <f ca="1">IFERROR(__xludf.DUMMYFUNCTION("""COMPUTED_VALUE"""),4770)</f>
        <v>4770</v>
      </c>
    </row>
    <row r="483" spans="1:6" ht="72" customHeight="1" x14ac:dyDescent="0.2">
      <c r="A483" s="4" t="str">
        <f ca="1">IFERROR(__xludf.DUMMYFUNCTION("""COMPUTED_VALUE"""),"«АСТОР: Ваш магазин 7 SE»")</f>
        <v>«АСТОР: Ваш магазин 7 SE»</v>
      </c>
      <c r="B483" s="4" t="str">
        <f ca="1">IFERROR(__xludf.DUMMYFUNCTION("""COMPUTED_VALUE"""),"с МОТП, БАЗОВЫЙ")</f>
        <v>с МОТП, БАЗОВЫЙ</v>
      </c>
      <c r="C483" s="4" t="str">
        <f ca="1">IFERROR(__xludf.DUMMYFUNCTION("""COMPUTED_VALUE"""),"SSY1-RTL15AT-ASTORYM7SE")</f>
        <v>SSY1-RTL15AT-ASTORYM7SE</v>
      </c>
      <c r="D483" s="4" t="str">
        <f ca="1">IFERROR(__xludf.DUMMYFUNCTION("""COMPUTED_VALUE"""),"Продление подписки на обновления Mobile SMARTS: Магазин 15 с МОТП, БАЗОВЫЙ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нет онлайна / доступны"&amp;"е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"&amp;"возможности: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на"&amp;" 1 (один) год")</f>
        <v>Продление подписки на обновления Mobile SMARTS: Магазин 15 с МОТП, БАЗОВЫЙ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3" s="4" t="str">
        <f ca="1">IFERROR(__xludf.DUMMYFUNCTION("""COMPUTED_VALUE"""),"Продление подписки на обновления Mobile SMARTS: Магазин 15 с МОТП, БАЗОВЫЙ для «АСТОР: Ваш магазин 7 SE»,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«АСТОР: Ваш магазин 7 SE», для работы с маркированным товаром: ТАБАК и товары по штрихкодам  на 1 (один) год</v>
      </c>
      <c r="F483" s="5">
        <f ca="1">IFERROR(__xludf.DUMMYFUNCTION("""COMPUTED_VALUE"""),2230)</f>
        <v>2230</v>
      </c>
    </row>
    <row r="484" spans="1:6" ht="72" customHeight="1" x14ac:dyDescent="0.2">
      <c r="A484" s="4" t="str">
        <f ca="1">IFERROR(__xludf.DUMMYFUNCTION("""COMPUTED_VALUE"""),"«АСТОР: Ваш магазин 7 SE»")</f>
        <v>«АСТОР: Ваш магазин 7 SE»</v>
      </c>
      <c r="B484" s="4" t="str">
        <f ca="1">IFERROR(__xludf.DUMMYFUNCTION("""COMPUTED_VALUE"""),"с МОТП, РАСШИРЕННЫЙ")</f>
        <v>с МОТП, РАСШИРЕННЫЙ</v>
      </c>
      <c r="C484" s="4" t="str">
        <f ca="1">IFERROR(__xludf.DUMMYFUNCTION("""COMPUTED_VALUE"""),"SSY1-RTL15BT-ASTORYM7SE")</f>
        <v>SSY1-RTL15BT-ASTORYM7SE</v>
      </c>
      <c r="D484" s="4" t="str">
        <f ca="1">IFERROR(__xludf.DUMMYFUNCTION("""COMPUTED_VALUE"""),"Продление подписки на обновления Mobile SMARTS: Магазин 15 с МОТП, РАСШИРЕННЫЙ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дост"&amp;"упные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QR-кодо"&amp;"в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Интерне"&amp;"т на 1 (один) год")</f>
        <v>Продление подписки на обновления Mobile SMARTS: Магазин 15 с МОТП, РАСШИРЕННЫЙ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4" s="4" t="str">
        <f ca="1">IFERROR(__xludf.DUMMYFUNCTION("""COMPUTED_VALUE"""),"Продление подписки на обновления Mobile SMARTS: Магазин 15 с МОТП, РАСШИРЕННЫЙ для «АСТОР: Ваш магазин 7 SE»,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«АСТОР: Ваш магазин 7 SE», для работы с маркированным товаром: ТАБАК и товары по штрихкодам  на 1 (один) год</v>
      </c>
      <c r="F484" s="5">
        <f ca="1">IFERROR(__xludf.DUMMYFUNCTION("""COMPUTED_VALUE"""),3490)</f>
        <v>3490</v>
      </c>
    </row>
    <row r="485" spans="1:6" ht="72" customHeight="1" x14ac:dyDescent="0.2">
      <c r="A485" s="4" t="str">
        <f ca="1">IFERROR(__xludf.DUMMYFUNCTION("""COMPUTED_VALUE"""),"«АСТОР: Ваш магазин 7 SE»")</f>
        <v>«АСТОР: Ваш магазин 7 SE»</v>
      </c>
      <c r="B485" s="4" t="str">
        <f ca="1">IFERROR(__xludf.DUMMYFUNCTION("""COMPUTED_VALUE"""),"с МОТП, МЕГАМАРКЕТ")</f>
        <v>с МОТП, МЕГАМАРКЕТ</v>
      </c>
      <c r="C485" s="4" t="str">
        <f ca="1">IFERROR(__xludf.DUMMYFUNCTION("""COMPUTED_VALUE"""),"SSY1-RTL15CT-ASTORYM7SE")</f>
        <v>SSY1-RTL15CT-ASTORYM7SE</v>
      </c>
      <c r="D485" s="4" t="str">
        <f ca="1">IFERROR(__xludf.DUMMYFUNCTION("""COMPUTED_VALUE"""),"Продление подписки на обновления Mobile SMARTS: Магазин 15 с МОТП, МЕГАМАРКЕТ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досту"&amp;"пные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QR-кодов"&amp;"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и"&amp;" обмен через Интернет на 1 (один) год")</f>
        <v>Продление подписки на обновления Mobile SMARTS: Магазин 15 с МОТП, МЕГАМАРКЕТ для «АСТОР: Ваш магазин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5" s="4" t="str">
        <f ca="1">IFERROR(__xludf.DUMMYFUNCTION("""COMPUTED_VALUE"""),"Продление подписки на обновления Mobile SMARTS: Магазин 15 с МОТП, МЕГАМАРКЕТ для «АСТОР: Ваш магазин 7 SE»,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«АСТОР: Ваш магазин 7 SE», для работы с маркированным товаром: ТАБАК и товары по штрихкодам  на 1 (один) год</v>
      </c>
      <c r="F485" s="5">
        <f ca="1">IFERROR(__xludf.DUMMYFUNCTION("""COMPUTED_VALUE"""),4770)</f>
        <v>4770</v>
      </c>
    </row>
    <row r="486" spans="1:6" ht="72" customHeight="1" x14ac:dyDescent="0.2">
      <c r="A486" s="4" t="str">
        <f ca="1">IFERROR(__xludf.DUMMYFUNCTION("""COMPUTED_VALUE"""),"«АСТОР: Ваш магазин 7 SE»")</f>
        <v>«АСТОР: Ваш магазин 7 SE»</v>
      </c>
      <c r="B486" s="4" t="str">
        <f ca="1">IFERROR(__xludf.DUMMYFUNCTION("""COMPUTED_VALUE"""),"с ЕГАИС и МОТП, БАЗОВЫЙ")</f>
        <v>с ЕГАИС и МОТП, БАЗОВЫЙ</v>
      </c>
      <c r="C486" s="4" t="str">
        <f ca="1">IFERROR(__xludf.DUMMYFUNCTION("""COMPUTED_VALUE"""),"SSY1-RTL15AET-ASTORYM7SE")</f>
        <v>SSY1-RTL15AET-ASTORYM7SE</v>
      </c>
      <c r="D486" s="4" t="str">
        <f ca="1">IFERROR(__xludf.DUMMYFUNCTION("""COMPUTED_VALUE"""),"Продление подписки на обновления Mobile SMARTS: Магазин 15 с ЕГАИС и МОТП, БАЗОВЫЙ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нет "&amp;"онлайна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К"&amp;"М),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"&amp;"существующих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6" s="4" t="str">
        <f ca="1">IFERROR(__xludf.DUMMYFUNCTION("""COMPUTED_VALUE"""),"Продление подписки на обновления Mobile SMARTS: Магазин 15 с ЕГАИС и МОТП, БАЗОВЫЙ для «АСТОР: Ваш магазин 7 SE»,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«АСТОР: Ваш магазин 7 SE», для работы с маркированным товаром: АЛКОГОЛЬ, ТАБАК и товары по штрихкодам  на 1 (один) год</v>
      </c>
      <c r="F486" s="5">
        <f ca="1">IFERROR(__xludf.DUMMYFUNCTION("""COMPUTED_VALUE"""),2430)</f>
        <v>2430</v>
      </c>
    </row>
    <row r="487" spans="1:6" ht="72" customHeight="1" x14ac:dyDescent="0.2">
      <c r="A487" s="4" t="str">
        <f ca="1">IFERROR(__xludf.DUMMYFUNCTION("""COMPUTED_VALUE"""),"«АСТОР: Ваш магазин 7 SE»")</f>
        <v>«АСТОР: Ваш магазин 7 SE»</v>
      </c>
      <c r="B487" s="4" t="str">
        <f ca="1">IFERROR(__xludf.DUMMYFUNCTION("""COMPUTED_VALUE"""),"с ЕГАИС и МОТП, РАСШИРЕННЫЙ")</f>
        <v>с ЕГАИС и МОТП, РАСШИРЕННЫЙ</v>
      </c>
      <c r="C487" s="4" t="str">
        <f ca="1">IFERROR(__xludf.DUMMYFUNCTION("""COMPUTED_VALUE"""),"SSY1-RTL15BET-ASTORYM7SE")</f>
        <v>SSY1-RTL15BET-ASTORYM7SE</v>
      </c>
      <c r="D487" s="4" t="str">
        <f ca="1">IFERROR(__xludf.DUMMYFUNCTION("""COMPUTED_VALUE"""),"Продление подписки на обновления Mobile SMARTS: Магазин 15 с ЕГАИС и МОТП, РАСШИРЕННЫЙ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"&amp;"есть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"&amp;"по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измене"&amp;"ние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7" s="4" t="str">
        <f ca="1">IFERROR(__xludf.DUMMYFUNCTION("""COMPUTED_VALUE"""),"Продление подписки на обновления Mobile SMARTS: Магазин 15 с ЕГАИС и МОТП, РАСШИРЕННЫЙ для «АСТОР: Ваш магазин 7 SE»,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«АСТОР: Ваш магазин 7 SE», для работы с маркированным товаром: АЛКОГОЛЬ, ТАБАК и товары по штрихкодам  на 1 (один) год</v>
      </c>
      <c r="F487" s="5">
        <f ca="1">IFERROR(__xludf.DUMMYFUNCTION("""COMPUTED_VALUE"""),3710)</f>
        <v>3710</v>
      </c>
    </row>
    <row r="488" spans="1:6" ht="72" customHeight="1" x14ac:dyDescent="0.2">
      <c r="A488" s="4" t="str">
        <f ca="1">IFERROR(__xludf.DUMMYFUNCTION("""COMPUTED_VALUE"""),"«АСТОР: Ваш магазин 7 SE»")</f>
        <v>«АСТОР: Ваш магазин 7 SE»</v>
      </c>
      <c r="B488" s="4" t="str">
        <f ca="1">IFERROR(__xludf.DUMMYFUNCTION("""COMPUTED_VALUE"""),"с ЕГАИС и МОТП, МЕГАМАРКЕТ")</f>
        <v>с ЕГАИС и МОТП, МЕГАМАРКЕТ</v>
      </c>
      <c r="C488" s="4" t="str">
        <f ca="1">IFERROR(__xludf.DUMMYFUNCTION("""COMPUTED_VALUE"""),"SSY1-RTL15CET-ASTORYM7SE")</f>
        <v>SSY1-RTL15CET-ASTORYM7SE</v>
      </c>
      <c r="D488" s="4" t="str">
        <f ca="1">IFERROR(__xludf.DUMMYFUNCTION("""COMPUTED_VALUE"""),"Продление подписки на обновления Mobile SMARTS: Магазин 15 с ЕГАИС и МОТП, МЕГАМАРКЕТ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е"&amp;"сть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цена"&amp;"х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«АСТОР: Ваш магазин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88" s="4" t="str">
        <f ca="1">IFERROR(__xludf.DUMMYFUNCTION("""COMPUTED_VALUE"""),"Продление подписки на обновления Mobile SMARTS: Магазин 15 с ЕГАИС и МОТП, МЕГАМАРКЕТ для «АСТОР: Ваш магазин 7 SE»,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«АСТОР: Ваш магазин 7 SE», для работы с маркированным товаром: АЛКОГОЛЬ, ТАБАК и товары по штрихкодам  на 1 (один) год</v>
      </c>
      <c r="F488" s="5">
        <f ca="1">IFERROR(__xludf.DUMMYFUNCTION("""COMPUTED_VALUE"""),5270)</f>
        <v>5270</v>
      </c>
    </row>
    <row r="489" spans="1:6" ht="72" customHeight="1" x14ac:dyDescent="0.2">
      <c r="A489" s="4" t="str">
        <f ca="1">IFERROR(__xludf.DUMMYFUNCTION("""COMPUTED_VALUE"""),"«АСТОР: Торговая Сеть 7 SE»")</f>
        <v>«АСТОР: Торговая Сеть 7 SE»</v>
      </c>
      <c r="B489" s="4" t="str">
        <f ca="1">IFERROR(__xludf.DUMMYFUNCTION("""COMPUTED_VALUE"""),"МИНИМУМ")</f>
        <v>МИНИМУМ</v>
      </c>
      <c r="C489" s="4" t="str">
        <f ca="1">IFERROR(__xludf.DUMMYFUNCTION("""COMPUTED_VALUE"""),"SSY1-RTL15M-ASTORRNSE7")</f>
        <v>SSY1-RTL15M-ASTORRNSE7</v>
      </c>
      <c r="D489" s="4" t="str">
        <f ca="1">IFERROR(__xludf.DUMMYFUNCTION("""COMPUTED_VALUE"""),"Продление подписки на обновления Mobile SMARTS: Магазин 15, МИНИМУМ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инвент"&amp;"аризация,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обме"&amp;"н через Интернет на 1 (один) год")</f>
        <v>Продление подписки на обновления Mobile SMARTS: Магазин 15, МИНИМУМ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89" s="4" t="str">
        <f ca="1">IFERROR(__xludf.DUMMYFUNCTION("""COMPUTED_VALUE"""),"Продление подписки на обновления Mobile SMARTS: Магазин 15, МИНИМУМ для «АСТОР: Торговая Сеть 7 SE», для работы с товаром по штрихкодам  на 1 (один) год")</f>
        <v>Продление подписки на обновления Mobile SMARTS: Магазин 15, МИНИМУМ для «АСТОР: Торговая Сеть 7 SE», для работы с товаром по штрихкодам  на 1 (один) год</v>
      </c>
      <c r="F489" s="5">
        <f ca="1">IFERROR(__xludf.DUMMYFUNCTION("""COMPUTED_VALUE"""),690)</f>
        <v>690</v>
      </c>
    </row>
    <row r="490" spans="1:6" ht="72" customHeight="1" x14ac:dyDescent="0.2">
      <c r="A490" s="4" t="str">
        <f ca="1">IFERROR(__xludf.DUMMYFUNCTION("""COMPUTED_VALUE"""),"«АСТОР: Торговая Сеть 7 SE»")</f>
        <v>«АСТОР: Торговая Сеть 7 SE»</v>
      </c>
      <c r="B490" s="4" t="str">
        <f ca="1">IFERROR(__xludf.DUMMYFUNCTION("""COMPUTED_VALUE"""),"БАЗОВЫЙ")</f>
        <v>БАЗОВЫЙ</v>
      </c>
      <c r="C490" s="4" t="str">
        <f ca="1">IFERROR(__xludf.DUMMYFUNCTION("""COMPUTED_VALUE"""),"SSY1-RTL15A-ASTORRNSE7")</f>
        <v>SSY1-RTL15A-ASTORRNSE7</v>
      </c>
      <c r="D490" s="4" t="str">
        <f ca="1">IFERROR(__xludf.DUMMYFUNCTION("""COMPUTED_VALUE"""),"Продление подписки на обновления Mobile SMARTS: Магазин 15, БАЗОВЫЙ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инвентариз"&amp;"ация,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эк"&amp;"ране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«АСТОР: Торговая Сеть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0" s="4" t="str">
        <f ca="1">IFERROR(__xludf.DUMMYFUNCTION("""COMPUTED_VALUE"""),"Продление подписки на обновления Mobile SMARTS: Магазин 15, БАЗОВЫЙ для «АСТОР: Торговая Сеть 7 SE», для работы с товаром по штрихкодам  на 1 (один) год")</f>
        <v>Продление подписки на обновления Mobile SMARTS: Магазин 15, БАЗОВЫЙ для «АСТОР: Торговая Сеть 7 SE», для работы с товаром по штрихкодам  на 1 (один) год</v>
      </c>
      <c r="F490" s="5">
        <f ca="1">IFERROR(__xludf.DUMMYFUNCTION("""COMPUTED_VALUE"""),1730)</f>
        <v>1730</v>
      </c>
    </row>
    <row r="491" spans="1:6" ht="72" customHeight="1" x14ac:dyDescent="0.2">
      <c r="A491" s="4" t="str">
        <f ca="1">IFERROR(__xludf.DUMMYFUNCTION("""COMPUTED_VALUE"""),"«АСТОР: Торговая Сеть 7 SE»")</f>
        <v>«АСТОР: Торговая Сеть 7 SE»</v>
      </c>
      <c r="B491" s="4" t="str">
        <f ca="1">IFERROR(__xludf.DUMMYFUNCTION("""COMPUTED_VALUE"""),"РАСШИРЕННЫЙ")</f>
        <v>РАСШИРЕННЫЙ</v>
      </c>
      <c r="C491" s="4" t="str">
        <f ca="1">IFERROR(__xludf.DUMMYFUNCTION("""COMPUTED_VALUE"""),"SSY1-RTL15B-ASTORRNSE7")</f>
        <v>SSY1-RTL15B-ASTORRNSE7</v>
      </c>
      <c r="D491" s="4" t="str">
        <f ca="1">IFERROR(__xludf.DUMMYFUNCTION("""COMPUTED_VALUE"""),"Продление подписки на обновления Mobile SMARTS: Магазин 15, РАСШИРЕННЫЙ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н"&amp;"а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1" s="4" t="str">
        <f ca="1">IFERROR(__xludf.DUMMYFUNCTION("""COMPUTED_VALUE"""),"Продление подписки на обновления Mobile SMARTS: Магазин 15, РАСШИРЕННЫЙ для «АСТОР: Торговая Сеть 7 SE», для работы с товаром по штрихкодам  на 1 (один) год")</f>
        <v>Продление подписки на обновления Mobile SMARTS: Магазин 15, РАСШИРЕННЫЙ для «АСТОР: Торговая Сеть 7 SE», для работы с товаром по штрихкодам  на 1 (один) год</v>
      </c>
      <c r="F491" s="5">
        <f ca="1">IFERROR(__xludf.DUMMYFUNCTION("""COMPUTED_VALUE"""),3010)</f>
        <v>3010</v>
      </c>
    </row>
    <row r="492" spans="1:6" ht="72" customHeight="1" x14ac:dyDescent="0.2">
      <c r="A492" s="4" t="str">
        <f ca="1">IFERROR(__xludf.DUMMYFUNCTION("""COMPUTED_VALUE"""),"«АСТОР: Торговая Сеть 7 SE»")</f>
        <v>«АСТОР: Торговая Сеть 7 SE»</v>
      </c>
      <c r="B492" s="4" t="str">
        <f ca="1">IFERROR(__xludf.DUMMYFUNCTION("""COMPUTED_VALUE"""),"МЕГАМАРКЕТ")</f>
        <v>МЕГАМАРКЕТ</v>
      </c>
      <c r="C492" s="4" t="str">
        <f ca="1">IFERROR(__xludf.DUMMYFUNCTION("""COMPUTED_VALUE"""),"SSY1-RTL15C-ASTORRNSE7")</f>
        <v>SSY1-RTL15C-ASTORRNSE7</v>
      </c>
      <c r="D492" s="4" t="str">
        <f ca="1">IFERROR(__xludf.DUMMYFUNCTION("""COMPUTED_VALUE"""),"Продление подписки на обновления Mobile SMARTS: Магазин 15, МЕГАМАРКЕТ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инвента"&amp;"ризация,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контрагентах"&amp;",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«АСТОР: Торговая Сеть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2" s="4" t="str">
        <f ca="1">IFERROR(__xludf.DUMMYFUNCTION("""COMPUTED_VALUE"""),"Продление подписки на обновления Mobile SMARTS: Магазин 15, МЕГАМАРКЕТ для «АСТОР: Торговая Сеть 7 SE», для работы с товаром по штрихкодам  на 1 (один) год")</f>
        <v>Продление подписки на обновления Mobile SMARTS: Магазин 15, МЕГАМАРКЕТ для «АСТОР: Торговая Сеть 7 SE», для работы с товаром по штрихкодам  на 1 (один) год</v>
      </c>
      <c r="F492" s="5">
        <f ca="1">IFERROR(__xludf.DUMMYFUNCTION("""COMPUTED_VALUE"""),4310)</f>
        <v>4310</v>
      </c>
    </row>
    <row r="493" spans="1:6" ht="72" customHeight="1" x14ac:dyDescent="0.2">
      <c r="A493" s="4" t="str">
        <f ca="1">IFERROR(__xludf.DUMMYFUNCTION("""COMPUTED_VALUE"""),"«АСТОР: Торговая Сеть 7 SE»")</f>
        <v>«АСТОР: Торговая Сеть 7 SE»</v>
      </c>
      <c r="B493" s="4" t="str">
        <f ca="1">IFERROR(__xludf.DUMMYFUNCTION("""COMPUTED_VALUE"""),"с ЕГАИС, БАЗОВЫЙ")</f>
        <v>с ЕГАИС, БАЗОВЫЙ</v>
      </c>
      <c r="C493" s="4" t="str">
        <f ca="1">IFERROR(__xludf.DUMMYFUNCTION("""COMPUTED_VALUE"""),"SSY1-RTL15AE-ASTORRNSE7")</f>
        <v>SSY1-RTL15AE-ASTORRNSE7</v>
      </c>
      <c r="D493" s="4" t="str">
        <f ca="1">IFERROR(__xludf.DUMMYFUNCTION("""COMPUTED_VALUE"""),"Продление подписки на обновления Mobile SMARTS: Магазин 15 с ЕГАИС, БАЗОВЫЙ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нет онлайн"&amp;"а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"&amp;"мобильный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н"&amp;"а 1 (один) год")</f>
        <v>Продление подписки на обновления Mobile SMARTS: Магазин 15 с ЕГАИС, БАЗОВЫЙ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493" s="4" t="str">
        <f ca="1">IFERROR(__xludf.DUMMYFUNCTION("""COMPUTED_VALUE"""),"Продление подписки на обновления Mobile SMARTS: Магазин 15 с ЕГАИС, БАЗОВЫЙ для «АСТОР: Торговая Сеть 7 SE»,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«АСТОР: Торговая Сеть 7 SE», для работы с маркированным товаром: алкоголь ЕГАИС и товары по штрихкодам  на 1 (один) год</v>
      </c>
      <c r="F493" s="5">
        <f ca="1">IFERROR(__xludf.DUMMYFUNCTION("""COMPUTED_VALUE"""),2200)</f>
        <v>2200</v>
      </c>
    </row>
    <row r="494" spans="1:6" ht="72" customHeight="1" x14ac:dyDescent="0.2">
      <c r="A494" s="4" t="str">
        <f ca="1">IFERROR(__xludf.DUMMYFUNCTION("""COMPUTED_VALUE"""),"«АСТОР: Торговая Сеть 7 SE»")</f>
        <v>«АСТОР: Торговая Сеть 7 SE»</v>
      </c>
      <c r="B494" s="4" t="str">
        <f ca="1">IFERROR(__xludf.DUMMYFUNCTION("""COMPUTED_VALUE"""),"с ЕГАИС, РАСШИРЕННЫЙ")</f>
        <v>с ЕГАИС, РАСШИРЕННЫЙ</v>
      </c>
      <c r="C494" s="4" t="str">
        <f ca="1">IFERROR(__xludf.DUMMYFUNCTION("""COMPUTED_VALUE"""),"SSY1-RTL15BE-ASTORRNSE7")</f>
        <v>SSY1-RTL15BE-ASTORRNSE7</v>
      </c>
      <c r="D494" s="4" t="str">
        <f ca="1">IFERROR(__xludf.DUMMYFUNCTION("""COMPUTED_VALUE"""),"Продление подписки на обновления Mobile SMARTS: Магазин 15 с ЕГАИС, РАСШИРЕННЫЙ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О"&amp;"НЛАЙН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печать"&amp;"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 с ЕГАИС, РАСШИРЕННЫЙ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4" s="4" t="str">
        <f ca="1">IFERROR(__xludf.DUMMYFUNCTION("""COMPUTED_VALUE"""),"Продление подписки на обновления Mobile SMARTS: Магазин 15 с ЕГАИС, РАСШИРЕННЫЙ для «АСТОР: Торговая Сеть 7 SE»,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«АСТОР: Торговая Сеть 7 SE», для работы с маркированным товаром: алкоголь ЕГАИС и товары по штрихкодам  на 1 (один) год</v>
      </c>
      <c r="F494" s="5">
        <f ca="1">IFERROR(__xludf.DUMMYFUNCTION("""COMPUTED_VALUE"""),3490)</f>
        <v>3490</v>
      </c>
    </row>
    <row r="495" spans="1:6" ht="72" customHeight="1" x14ac:dyDescent="0.2">
      <c r="A495" s="4" t="str">
        <f ca="1">IFERROR(__xludf.DUMMYFUNCTION("""COMPUTED_VALUE"""),"«АСТОР: Торговая Сеть 7 SE»")</f>
        <v>«АСТОР: Торговая Сеть 7 SE»</v>
      </c>
      <c r="B495" s="4" t="str">
        <f ca="1">IFERROR(__xludf.DUMMYFUNCTION("""COMPUTED_VALUE"""),"с ЕГАИС (без CheckMark2), МЕГАМАРКЕТ")</f>
        <v>с ЕГАИС (без CheckMark2), МЕГАМАРКЕТ</v>
      </c>
      <c r="C495" s="4" t="str">
        <f ca="1">IFERROR(__xludf.DUMMYFUNCTION("""COMPUTED_VALUE"""),"SSY1-RTL15CEV-ASTORRNSE7")</f>
        <v>SSY1-RTL15CEV-ASTORRNSE7</v>
      </c>
      <c r="D495" s="4" t="str">
        <f ca="1">IFERROR(__xludf.DUMMYFUNCTION("""COMPUTED_VALUE"""),"Продление подписки на обновления 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И"&amp;"нтернет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воз"&amp;"можности: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по"&amp;"дписка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5" s="4" t="str">
        <f ca="1">IFERROR(__xludf.DUMMYFUNCTION("""COMPUTED_VALUE"""),"Продление подписки на обновления 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«АСТОР: Торговая Сеть 7 SE», для работы с маркированным товаром: алкоголь ЕГАИС и товары по штрихкодам  на 1 (один) год</v>
      </c>
      <c r="F495" s="5">
        <f ca="1">IFERROR(__xludf.DUMMYFUNCTION("""COMPUTED_VALUE"""),4770)</f>
        <v>4770</v>
      </c>
    </row>
    <row r="496" spans="1:6" ht="72" customHeight="1" x14ac:dyDescent="0.2">
      <c r="A496" s="4" t="str">
        <f ca="1">IFERROR(__xludf.DUMMYFUNCTION("""COMPUTED_VALUE"""),"«АСТОР: Торговая Сеть 7 SE»")</f>
        <v>«АСТОР: Торговая Сеть 7 SE»</v>
      </c>
      <c r="B496" s="4" t="str">
        <f ca="1">IFERROR(__xludf.DUMMYFUNCTION("""COMPUTED_VALUE"""),"с МОТП, БАЗОВЫЙ")</f>
        <v>с МОТП, БАЗОВЫЙ</v>
      </c>
      <c r="C496" s="4" t="str">
        <f ca="1">IFERROR(__xludf.DUMMYFUNCTION("""COMPUTED_VALUE"""),"SSY1-RTL15AT-ASTORRNSE7")</f>
        <v>SSY1-RTL15AT-ASTORRNSE7</v>
      </c>
      <c r="D496" s="4" t="str">
        <f ca="1">IFERROR(__xludf.DUMMYFUNCTION("""COMPUTED_VALUE"""),"Продление подписки на обновления Mobile SMARTS: Магазин 15 с МОТП, БАЗОВЫЙ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нет онлайна / доступ"&amp;"ные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"&amp;"/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"&amp;"на 1 (один) год")</f>
        <v>Продление подписки на обновления Mobile SMARTS: Магазин 15 с МОТП, БАЗОВЫЙ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6" s="4" t="str">
        <f ca="1">IFERROR(__xludf.DUMMYFUNCTION("""COMPUTED_VALUE"""),"Продление подписки на обновления Mobile SMARTS: Магазин 15 с МОТП, БАЗОВЫЙ для «АСТОР: Торговая Сеть 7 SE»,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«АСТОР: Торговая Сеть 7 SE», для работы с маркированным товаром: ТАБАК и товары по штрихкодам  на 1 (один) год</v>
      </c>
      <c r="F496" s="5">
        <f ca="1">IFERROR(__xludf.DUMMYFUNCTION("""COMPUTED_VALUE"""),2230)</f>
        <v>2230</v>
      </c>
    </row>
    <row r="497" spans="1:6" ht="72" customHeight="1" x14ac:dyDescent="0.2">
      <c r="A497" s="4" t="str">
        <f ca="1">IFERROR(__xludf.DUMMYFUNCTION("""COMPUTED_VALUE"""),"«АСТОР: Торговая Сеть 7 SE»")</f>
        <v>«АСТОР: Торговая Сеть 7 SE»</v>
      </c>
      <c r="B497" s="4" t="str">
        <f ca="1">IFERROR(__xludf.DUMMYFUNCTION("""COMPUTED_VALUE"""),"с МОТП, РАСШИРЕННЫЙ")</f>
        <v>с МОТП, РАСШИРЕННЫЙ</v>
      </c>
      <c r="C497" s="4" t="str">
        <f ca="1">IFERROR(__xludf.DUMMYFUNCTION("""COMPUTED_VALUE"""),"SSY1-RTL15BT-ASTORRNSE7")</f>
        <v>SSY1-RTL15BT-ASTORRNSE7</v>
      </c>
      <c r="D497" s="4" t="str">
        <f ca="1">IFERROR(__xludf.DUMMYFUNCTION("""COMPUTED_VALUE"""),"Продление подписки на обновления Mobile SMARTS: Магазин 15 с МОТП, РАСШИРЕННЫЙ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до"&amp;"ступные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QR-ко"&amp;"дов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Продление подписки на обновления Mobile SMARTS: Магазин 15 с МОТП, РАСШИРЕННЫЙ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7" s="4" t="str">
        <f ca="1">IFERROR(__xludf.DUMMYFUNCTION("""COMPUTED_VALUE"""),"Продление подписки на обновления Mobile SMARTS: Магазин 15 с МОТП, РАСШИРЕННЫЙ для «АСТОР: Торговая Сеть 7 SE»,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«АСТОР: Торговая Сеть 7 SE», для работы с маркированным товаром: ТАБАК и товары по штрихкодам  на 1 (один) год</v>
      </c>
      <c r="F497" s="5">
        <f ca="1">IFERROR(__xludf.DUMMYFUNCTION("""COMPUTED_VALUE"""),3490)</f>
        <v>3490</v>
      </c>
    </row>
    <row r="498" spans="1:6" ht="72" customHeight="1" x14ac:dyDescent="0.2">
      <c r="A498" s="4" t="str">
        <f ca="1">IFERROR(__xludf.DUMMYFUNCTION("""COMPUTED_VALUE"""),"«АСТОР: Торговая Сеть 7 SE»")</f>
        <v>«АСТОР: Торговая Сеть 7 SE»</v>
      </c>
      <c r="B498" s="4" t="str">
        <f ca="1">IFERROR(__xludf.DUMMYFUNCTION("""COMPUTED_VALUE"""),"с МОТП, МЕГАМАРКЕТ")</f>
        <v>с МОТП, МЕГАМАРКЕТ</v>
      </c>
      <c r="C498" s="4" t="str">
        <f ca="1">IFERROR(__xludf.DUMMYFUNCTION("""COMPUTED_VALUE"""),"SSY1-RTL15CT-ASTORRNSE7")</f>
        <v>SSY1-RTL15CT-ASTORRNSE7</v>
      </c>
      <c r="D498" s="4" t="str">
        <f ca="1">IFERROR(__xludf.DUMMYFUNCTION("""COMPUTED_VALUE"""),"Продление подписки на обновления Mobile SMARTS: Магазин 15 с МОТП, МЕГАМАРКЕТ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дос"&amp;"тупные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QR-код"&amp;"ов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обновления"&amp;" и обмен через Интернет на 1 (один) год")</f>
        <v>Продление подписки на обновления Mobile SMARTS: Магазин 15 с МОТП, МЕГАМАРКЕТ для «АСТОР: Торговая Сеть 7 SE»,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8" s="4" t="str">
        <f ca="1">IFERROR(__xludf.DUMMYFUNCTION("""COMPUTED_VALUE"""),"Продление подписки на обновления Mobile SMARTS: Магазин 15 с МОТП, МЕГАМАРКЕТ для «АСТОР: Торговая Сеть 7 SE»,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«АСТОР: Торговая Сеть 7 SE», для работы с маркированным товаром: ТАБАК и товары по штрихкодам  на 1 (один) год</v>
      </c>
      <c r="F498" s="5">
        <f ca="1">IFERROR(__xludf.DUMMYFUNCTION("""COMPUTED_VALUE"""),4770)</f>
        <v>4770</v>
      </c>
    </row>
    <row r="499" spans="1:6" ht="72" customHeight="1" x14ac:dyDescent="0.2">
      <c r="A499" s="4" t="str">
        <f ca="1">IFERROR(__xludf.DUMMYFUNCTION("""COMPUTED_VALUE"""),"«АСТОР: Торговая Сеть 7 SE»")</f>
        <v>«АСТОР: Торговая Сеть 7 SE»</v>
      </c>
      <c r="B499" s="4" t="str">
        <f ca="1">IFERROR(__xludf.DUMMYFUNCTION("""COMPUTED_VALUE"""),"с ЕГАИС и МОТП, БАЗОВЫЙ")</f>
        <v>с ЕГАИС и МОТП, БАЗОВЫЙ</v>
      </c>
      <c r="C499" s="4" t="str">
        <f ca="1">IFERROR(__xludf.DUMMYFUNCTION("""COMPUTED_VALUE"""),"SSY1-RTL15AET-ASTORRNSE7")</f>
        <v>SSY1-RTL15AET-ASTORRNSE7</v>
      </c>
      <c r="D499" s="4" t="str">
        <f ca="1">IFERROR(__xludf.DUMMYFUNCTION("""COMPUTED_VALUE"""),"Продление подписки на обновления Mobile SMARTS: Магазин 15 с ЕГАИС и МОТП, БАЗОВЫЙ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не"&amp;"т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по"&amp;"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изменени"&amp;"е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499" s="4" t="str">
        <f ca="1">IFERROR(__xludf.DUMMYFUNCTION("""COMPUTED_VALUE"""),"Продление подписки на обновления Mobile SMARTS: Магазин 15 с ЕГАИС и МОТП, БАЗОВЫЙ для «АСТОР: Торговая Сеть 7 SE»,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«АСТОР: Торговая Сеть 7 SE», для работы с маркированным товаром: АЛКОГОЛЬ, ТАБАК и товары по штрихкодам  на 1 (один) год</v>
      </c>
      <c r="F499" s="5">
        <f ca="1">IFERROR(__xludf.DUMMYFUNCTION("""COMPUTED_VALUE"""),2430)</f>
        <v>2430</v>
      </c>
    </row>
    <row r="500" spans="1:6" ht="72" customHeight="1" x14ac:dyDescent="0.2">
      <c r="A500" s="4" t="str">
        <f ca="1">IFERROR(__xludf.DUMMYFUNCTION("""COMPUTED_VALUE"""),"«АСТОР: Торговая Сеть 7 SE»")</f>
        <v>«АСТОР: Торговая Сеть 7 SE»</v>
      </c>
      <c r="B500" s="4" t="str">
        <f ca="1">IFERROR(__xludf.DUMMYFUNCTION("""COMPUTED_VALUE"""),"с ЕГАИС и МОТП, РАСШИРЕННЫЙ")</f>
        <v>с ЕГАИС и МОТП, РАСШИРЕННЫЙ</v>
      </c>
      <c r="C500" s="4" t="str">
        <f ca="1">IFERROR(__xludf.DUMMYFUNCTION("""COMPUTED_VALUE"""),"SSY1-RTL15BET-ASTORRNSE7")</f>
        <v>SSY1-RTL15BET-ASTORRNSE7</v>
      </c>
      <c r="D500" s="4" t="str">
        <f ca="1">IFERROR(__xludf.DUMMYFUNCTION("""COMPUTED_VALUE"""),"Продление подписки на обновления Mobile SMARTS: Магазин 15 с ЕГАИС и МОТП, РАСШИРЕННЫЙ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"&amp;"/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отгрузк"&amp;"а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изме"&amp;"нение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0" s="4" t="str">
        <f ca="1">IFERROR(__xludf.DUMMYFUNCTION("""COMPUTED_VALUE"""),"Продление подписки на обновления Mobile SMARTS: Магазин 15 с ЕГАИС и МОТП, РАСШИРЕННЫЙ для «АСТОР: Торговая Сеть 7 SE»,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«АСТОР: Торговая Сеть 7 SE», для работы с маркированным товаром: АЛКОГОЛЬ, ТАБАК и товары по штрихкодам  на 1 (один) год</v>
      </c>
      <c r="F500" s="5">
        <f ca="1">IFERROR(__xludf.DUMMYFUNCTION("""COMPUTED_VALUE"""),3710)</f>
        <v>3710</v>
      </c>
    </row>
    <row r="501" spans="1:6" ht="72" customHeight="1" x14ac:dyDescent="0.2">
      <c r="A501" s="4" t="str">
        <f ca="1">IFERROR(__xludf.DUMMYFUNCTION("""COMPUTED_VALUE"""),"«АСТОР: Торговая Сеть 7 SE»")</f>
        <v>«АСТОР: Торговая Сеть 7 SE»</v>
      </c>
      <c r="B501" s="4" t="str">
        <f ca="1">IFERROR(__xludf.DUMMYFUNCTION("""COMPUTED_VALUE"""),"с ЕГАИС и МОТП, МЕГАМАРКЕТ")</f>
        <v>с ЕГАИС и МОТП, МЕГАМАРКЕТ</v>
      </c>
      <c r="C501" s="4" t="str">
        <f ca="1">IFERROR(__xludf.DUMMYFUNCTION("""COMPUTED_VALUE"""),"SSY1-RTL15CET-ASTORRNSE7")</f>
        <v>SSY1-RTL15CET-ASTORRNSE7</v>
      </c>
      <c r="D501" s="4" t="str">
        <f ca="1">IFERROR(__xludf.DUMMYFUNCTION("""COMPUTED_VALUE"""),"Продление подписки на обновления Mobile SMARTS: Магазин 15 с ЕГАИС и МОТП, МЕГАМАРКЕТ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/"&amp;"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отгрузка"&amp;"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це"&amp;"нах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«АСТОР: Торговая Сеть 7 SE»,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1" s="4" t="str">
        <f ca="1">IFERROR(__xludf.DUMMYFUNCTION("""COMPUTED_VALUE"""),"Продление подписки на обновления Mobile SMARTS: Магазин 15 с ЕГАИС и МОТП, МЕГАМАРКЕТ для «АСТОР: Торговая Сеть 7 SE»,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«АСТОР: Торговая Сеть 7 SE», для работы с маркированным товаром: АЛКОГОЛЬ, ТАБАК и товары по штрихкодам  на 1 (один) год</v>
      </c>
      <c r="F501" s="5">
        <f ca="1">IFERROR(__xludf.DUMMYFUNCTION("""COMPUTED_VALUE"""),5270)</f>
        <v>5270</v>
      </c>
    </row>
    <row r="502" spans="1:6" ht="72" customHeight="1" x14ac:dyDescent="0.2">
      <c r="A502" s="4" t="str">
        <f ca="1">IFERROR(__xludf.DUMMYFUNCTION("""COMPUTED_VALUE"""),"«АСТОР: Торговый дом 7 SP»")</f>
        <v>«АСТОР: Торговый дом 7 SP»</v>
      </c>
      <c r="B502" s="4" t="str">
        <f ca="1">IFERROR(__xludf.DUMMYFUNCTION("""COMPUTED_VALUE"""),"МИНИМУМ")</f>
        <v>МИНИМУМ</v>
      </c>
      <c r="C502" s="4" t="str">
        <f ca="1">IFERROR(__xludf.DUMMYFUNCTION("""COMPUTED_VALUE"""),"SSY1-RTL15M-ASTORTH7SP")</f>
        <v>SSY1-RTL15M-ASTORTH7SP</v>
      </c>
      <c r="D502" s="4" t="str">
        <f ca="1">IFERROR(__xludf.DUMMYFUNCTION("""COMPUTED_VALUE"""),"Продление подписки на обновления Mobile SMARTS: Магазин 15, МИНИМУМ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инвента"&amp;"ризация,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обмен"&amp;" через Интернет на 1 (один) год")</f>
        <v>Продление подписки на обновления Mobile SMARTS: Магазин 15, МИНИМУМ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02" s="4" t="str">
        <f ca="1">IFERROR(__xludf.DUMMYFUNCTION("""COMPUTED_VALUE"""),"Продление подписки на обновления Mobile SMARTS: Магазин 15, МИНИМУМ для «АСТОР: Торговый дом 7 SP», для работы с товаром по штрихкодам  на 1 (один) год")</f>
        <v>Продление подписки на обновления Mobile SMARTS: Магазин 15, МИНИМУМ для «АСТОР: Торговый дом 7 SP», для работы с товаром по штрихкодам  на 1 (один) год</v>
      </c>
      <c r="F502" s="5">
        <f ca="1">IFERROR(__xludf.DUMMYFUNCTION("""COMPUTED_VALUE"""),690)</f>
        <v>690</v>
      </c>
    </row>
    <row r="503" spans="1:6" ht="72" customHeight="1" x14ac:dyDescent="0.2">
      <c r="A503" s="4" t="str">
        <f ca="1">IFERROR(__xludf.DUMMYFUNCTION("""COMPUTED_VALUE"""),"«АСТОР: Торговый дом 7 SP»")</f>
        <v>«АСТОР: Торговый дом 7 SP»</v>
      </c>
      <c r="B503" s="4" t="str">
        <f ca="1">IFERROR(__xludf.DUMMYFUNCTION("""COMPUTED_VALUE"""),"БАЗОВЫЙ")</f>
        <v>БАЗОВЫЙ</v>
      </c>
      <c r="C503" s="4" t="str">
        <f ca="1">IFERROR(__xludf.DUMMYFUNCTION("""COMPUTED_VALUE"""),"SSY1-RTL15A-ASTORTH7SP")</f>
        <v>SSY1-RTL15A-ASTORTH7SP</v>
      </c>
      <c r="D503" s="4" t="str">
        <f ca="1">IFERROR(__xludf.DUMMYFUNCTION("""COMPUTED_VALUE"""),"Продление подписки на обновления Mobile SMARTS: Магазин 15, БАЗОВЫЙ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инвентариза"&amp;"ция,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экр"&amp;"ане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«АСТОР: Торговый дом 7 SP»,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3" s="4" t="str">
        <f ca="1">IFERROR(__xludf.DUMMYFUNCTION("""COMPUTED_VALUE"""),"Продление подписки на обновления Mobile SMARTS: Магазин 15, БАЗОВЫЙ для «АСТОР: Торговый дом 7 SP», для работы с товаром по штрихкодам  на 1 (один) год")</f>
        <v>Продление подписки на обновления Mobile SMARTS: Магазин 15, БАЗОВЫЙ для «АСТОР: Торговый дом 7 SP», для работы с товаром по штрихкодам  на 1 (один) год</v>
      </c>
      <c r="F503" s="5">
        <f ca="1">IFERROR(__xludf.DUMMYFUNCTION("""COMPUTED_VALUE"""),1730)</f>
        <v>1730</v>
      </c>
    </row>
    <row r="504" spans="1:6" ht="72" customHeight="1" x14ac:dyDescent="0.2">
      <c r="A504" s="4" t="str">
        <f ca="1">IFERROR(__xludf.DUMMYFUNCTION("""COMPUTED_VALUE"""),"«АСТОР: Торговый дом 7 SP»")</f>
        <v>«АСТОР: Торговый дом 7 SP»</v>
      </c>
      <c r="B504" s="4" t="str">
        <f ca="1">IFERROR(__xludf.DUMMYFUNCTION("""COMPUTED_VALUE"""),"РАСШИРЕННЫЙ")</f>
        <v>РАСШИРЕННЫЙ</v>
      </c>
      <c r="C504" s="4" t="str">
        <f ca="1">IFERROR(__xludf.DUMMYFUNCTION("""COMPUTED_VALUE"""),"SSY1-RTL15B-ASTORTH7SP")</f>
        <v>SSY1-RTL15B-ASTORTH7SP</v>
      </c>
      <c r="D504" s="4" t="str">
        <f ca="1">IFERROR(__xludf.DUMMYFUNCTION("""COMPUTED_VALUE"""),"Продление подписки на обновления Mobile SMARTS: Магазин 15, РАСШИРЕННЫЙ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инвента"&amp;"ризация,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на"&amp;"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4" s="4" t="str">
        <f ca="1">IFERROR(__xludf.DUMMYFUNCTION("""COMPUTED_VALUE"""),"Продление подписки на обновления Mobile SMARTS: Магазин 15, РАСШИРЕННЫЙ для «АСТОР: Торговый дом 7 SP», для работы с товаром по штрихкодам  на 1 (один) год")</f>
        <v>Продление подписки на обновления Mobile SMARTS: Магазин 15, РАСШИРЕННЫЙ для «АСТОР: Торговый дом 7 SP», для работы с товаром по штрихкодам  на 1 (один) год</v>
      </c>
      <c r="F504" s="5">
        <f ca="1">IFERROR(__xludf.DUMMYFUNCTION("""COMPUTED_VALUE"""),3010)</f>
        <v>3010</v>
      </c>
    </row>
    <row r="505" spans="1:6" ht="72" customHeight="1" x14ac:dyDescent="0.2">
      <c r="A505" s="4" t="str">
        <f ca="1">IFERROR(__xludf.DUMMYFUNCTION("""COMPUTED_VALUE"""),"«АСТОР: Торговый дом 7 SP»")</f>
        <v>«АСТОР: Торговый дом 7 SP»</v>
      </c>
      <c r="B505" s="4" t="str">
        <f ca="1">IFERROR(__xludf.DUMMYFUNCTION("""COMPUTED_VALUE"""),"МЕГАМАРКЕТ")</f>
        <v>МЕГАМАРКЕТ</v>
      </c>
      <c r="C505" s="4" t="str">
        <f ca="1">IFERROR(__xludf.DUMMYFUNCTION("""COMPUTED_VALUE"""),"SSY1-RTL15C-ASTORTH7SP")</f>
        <v>SSY1-RTL15C-ASTORTH7SP</v>
      </c>
      <c r="D505" s="4" t="str">
        <f ca="1">IFERROR(__xludf.DUMMYFUNCTION("""COMPUTED_VALUE"""),"Продление подписки на обновления Mobile SMARTS: Магазин 15, МЕГАМАРКЕТ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инвентар"&amp;"изация,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контрагентах,"&amp;"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«АСТОР: Торговый дом 7 SP»,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5" s="4" t="str">
        <f ca="1">IFERROR(__xludf.DUMMYFUNCTION("""COMPUTED_VALUE"""),"Продление подписки на обновления Mobile SMARTS: Магазин 15, МЕГАМАРКЕТ для «АСТОР: Торговый дом 7 SP», для работы с товаром по штрихкодам  на 1 (один) год")</f>
        <v>Продление подписки на обновления Mobile SMARTS: Магазин 15, МЕГАМАРКЕТ для «АСТОР: Торговый дом 7 SP», для работы с товаром по штрихкодам  на 1 (один) год</v>
      </c>
      <c r="F505" s="5">
        <f ca="1">IFERROR(__xludf.DUMMYFUNCTION("""COMPUTED_VALUE"""),4310)</f>
        <v>4310</v>
      </c>
    </row>
    <row r="506" spans="1:6" ht="72" customHeight="1" x14ac:dyDescent="0.2">
      <c r="A506" s="4" t="str">
        <f ca="1">IFERROR(__xludf.DUMMYFUNCTION("""COMPUTED_VALUE"""),"«АСТОР: Торговый дом 7 SP»")</f>
        <v>«АСТОР: Торговый дом 7 SP»</v>
      </c>
      <c r="B506" s="4" t="str">
        <f ca="1">IFERROR(__xludf.DUMMYFUNCTION("""COMPUTED_VALUE"""),"с ЕГАИС, БАЗОВЫЙ")</f>
        <v>с ЕГАИС, БАЗОВЫЙ</v>
      </c>
      <c r="C506" s="4" t="str">
        <f ca="1">IFERROR(__xludf.DUMMYFUNCTION("""COMPUTED_VALUE"""),"SSY1-RTL15AE-ASTORTH7SP")</f>
        <v>SSY1-RTL15AE-ASTORTH7SP</v>
      </c>
      <c r="D506" s="4" t="str">
        <f ca="1">IFERROR(__xludf.DUMMYFUNCTION("""COMPUTED_VALUE"""),"Продление подписки на обновления Mobile SMARTS: Магазин 15 с ЕГАИС, БАЗОВЫЙ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нет онлайна"&amp;"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м"&amp;"обильный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на"&amp;" 1 (один) год")</f>
        <v>Продление подписки на обновления Mobile SMARTS: Магазин 15 с ЕГАИС, БАЗОВЫЙ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06" s="4" t="str">
        <f ca="1">IFERROR(__xludf.DUMMYFUNCTION("""COMPUTED_VALUE"""),"Продление подписки на обновления Mobile SMARTS: Магазин 15 с ЕГАИС, БАЗОВЫЙ для «АСТОР: Торговый дом 7 SP»,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БАЗОВЫЙ для «АСТОР: Торговый дом 7 SP», для работы с маркированным товаром: алкоголь ЕГАИС и товары по штрихкодам  на 1 (один) год</v>
      </c>
      <c r="F506" s="5">
        <f ca="1">IFERROR(__xludf.DUMMYFUNCTION("""COMPUTED_VALUE"""),2200)</f>
        <v>2200</v>
      </c>
    </row>
    <row r="507" spans="1:6" ht="72" customHeight="1" x14ac:dyDescent="0.2">
      <c r="A507" s="4" t="str">
        <f ca="1">IFERROR(__xludf.DUMMYFUNCTION("""COMPUTED_VALUE"""),"«АСТОР: Торговый дом 7 SP»")</f>
        <v>«АСТОР: Торговый дом 7 SP»</v>
      </c>
      <c r="B507" s="4" t="str">
        <f ca="1">IFERROR(__xludf.DUMMYFUNCTION("""COMPUTED_VALUE"""),"с ЕГАИС, РАСШИРЕННЫЙ")</f>
        <v>с ЕГАИС, РАСШИРЕННЫЙ</v>
      </c>
      <c r="C507" s="4" t="str">
        <f ca="1">IFERROR(__xludf.DUMMYFUNCTION("""COMPUTED_VALUE"""),"SSY1-RTL15BE-ASTORTH7SP")</f>
        <v>SSY1-RTL15BE-ASTORTH7SP</v>
      </c>
      <c r="D507" s="4" t="str">
        <f ca="1">IFERROR(__xludf.DUMMYFUNCTION("""COMPUTED_VALUE"""),"Продление подписки на обновления Mobile SMARTS: Магазин 15 с ЕГАИС, РАСШИРЕННЫЙ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ОН"&amp;"ЛАЙН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"&amp;"на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Ин"&amp;"тернет на 1 (один) год")</f>
        <v>Продление подписки на обновления Mobile SMARTS: Магазин 15 с ЕГАИС, РАСШИРЕННЫЙ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7" s="4" t="str">
        <f ca="1">IFERROR(__xludf.DUMMYFUNCTION("""COMPUTED_VALUE"""),"Продление подписки на обновления Mobile SMARTS: Магазин 15 с ЕГАИС, РАСШИРЕННЫЙ для «АСТОР: Торговый дом 7 SP»,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ЕГАИС, РАСШИРЕННЫЙ для «АСТОР: Торговый дом 7 SP», для работы с маркированным товаром: алкоголь ЕГАИС и товары по штрихкодам  на 1 (один) год</v>
      </c>
      <c r="F507" s="5">
        <f ca="1">IFERROR(__xludf.DUMMYFUNCTION("""COMPUTED_VALUE"""),3490)</f>
        <v>3490</v>
      </c>
    </row>
    <row r="508" spans="1:6" ht="72" customHeight="1" x14ac:dyDescent="0.2">
      <c r="A508" s="4" t="str">
        <f ca="1">IFERROR(__xludf.DUMMYFUNCTION("""COMPUTED_VALUE"""),"«АСТОР: Торговый дом 7 SP»")</f>
        <v>«АСТОР: Торговый дом 7 SP»</v>
      </c>
      <c r="B508" s="4" t="str">
        <f ca="1">IFERROR(__xludf.DUMMYFUNCTION("""COMPUTED_VALUE"""),"с ЕГАИС (без CheckMark2), МЕГАМАРКЕТ")</f>
        <v>с ЕГАИС (без CheckMark2), МЕГАМАРКЕТ</v>
      </c>
      <c r="C508" s="4" t="str">
        <f ca="1">IFERROR(__xludf.DUMMYFUNCTION("""COMPUTED_VALUE"""),"SSY1-RTL15CEV-ASTORTH7SP")</f>
        <v>SSY1-RTL15CEV-ASTORTH7SP</v>
      </c>
      <c r="D508" s="4" t="str">
        <f ca="1">IFERROR(__xludf.DUMMYFUNCTION("""COMPUTED_VALUE"""),"Продление подписки на обновления Mobile SMARTS: Магазин 15 с ЕГАИС (без CheckMark2), МЕГАМАРКЕТ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Ин"&amp;"тернет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возм"&amp;"ожности: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под"&amp;"писка на обновления и обмен через Интернет на 1 (один) год")</f>
        <v>Продление подписки на обновления Mobile SMARTS: Магазин 15 с ЕГАИС (без CheckMark2), МЕГАМАРКЕТ для «АСТОР: Торговый дом 7 SP»,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8" s="4" t="str">
        <f ca="1">IFERROR(__xludf.DUMMYFUNCTION("""COMPUTED_VALUE"""),"Продление подписки на обновления Mobile SMARTS: Магазин 15 с ЕГАИС (без CheckMark2), МЕГАМАРКЕТ для «АСТОР: Торговый дом 7 SP», для работы с маркированным товаром: алкоголь ЕГАИС и товары по штрихкодам  на 1 (один) год")</f>
        <v>Продление подписки на обновления Mobile SMARTS: Магазин 15 с ЕГАИС (без CheckMark2), МЕГАМАРКЕТ для «АСТОР: Торговый дом 7 SP», для работы с маркированным товаром: алкоголь ЕГАИС и товары по штрихкодам  на 1 (один) год</v>
      </c>
      <c r="F508" s="5">
        <f ca="1">IFERROR(__xludf.DUMMYFUNCTION("""COMPUTED_VALUE"""),4770)</f>
        <v>4770</v>
      </c>
    </row>
    <row r="509" spans="1:6" ht="72" customHeight="1" x14ac:dyDescent="0.2">
      <c r="A509" s="4" t="str">
        <f ca="1">IFERROR(__xludf.DUMMYFUNCTION("""COMPUTED_VALUE"""),"«АСТОР: Торговый дом 7 SP»")</f>
        <v>«АСТОР: Торговый дом 7 SP»</v>
      </c>
      <c r="B509" s="4" t="str">
        <f ca="1">IFERROR(__xludf.DUMMYFUNCTION("""COMPUTED_VALUE"""),"с МОТП, БАЗОВЫЙ")</f>
        <v>с МОТП, БАЗОВЫЙ</v>
      </c>
      <c r="C509" s="4" t="str">
        <f ca="1">IFERROR(__xludf.DUMMYFUNCTION("""COMPUTED_VALUE"""),"SSY1-RTL15AT-ASTORTH7SP")</f>
        <v>SSY1-RTL15AT-ASTORTH7SP</v>
      </c>
      <c r="D509" s="4" t="str">
        <f ca="1">IFERROR(__xludf.DUMMYFUNCTION("""COMPUTED_VALUE"""),"Продление подписки на обновления Mobile SMARTS: Магазин 15 с МОТП, БАЗОВЫЙ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нет онлайна / доступн"&amp;"ые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/"&amp;"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н"&amp;"а 1 (один) год")</f>
        <v>Продление подписки на обновления Mobile SMARTS: Магазин 15 с МОТП, БАЗОВЫЙ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09" s="4" t="str">
        <f ca="1">IFERROR(__xludf.DUMMYFUNCTION("""COMPUTED_VALUE"""),"Продление подписки на обновления Mobile SMARTS: Магазин 15 с МОТП, БАЗОВЫЙ для «АСТОР: Торговый дом 7 SP», для работы с маркированным товаром: ТАБАК и товары по штрихкодам  на 1 (один) год")</f>
        <v>Продление подписки на обновления Mobile SMARTS: Магазин 15 с МОТП, БАЗОВЫЙ для «АСТОР: Торговый дом 7 SP», для работы с маркированным товаром: ТАБАК и товары по штрихкодам  на 1 (один) год</v>
      </c>
      <c r="F509" s="5">
        <f ca="1">IFERROR(__xludf.DUMMYFUNCTION("""COMPUTED_VALUE"""),2230)</f>
        <v>2230</v>
      </c>
    </row>
    <row r="510" spans="1:6" ht="72" customHeight="1" x14ac:dyDescent="0.2">
      <c r="A510" s="4" t="str">
        <f ca="1">IFERROR(__xludf.DUMMYFUNCTION("""COMPUTED_VALUE"""),"«АСТОР: Торговый дом 7 SP»")</f>
        <v>«АСТОР: Торговый дом 7 SP»</v>
      </c>
      <c r="B510" s="4" t="str">
        <f ca="1">IFERROR(__xludf.DUMMYFUNCTION("""COMPUTED_VALUE"""),"с МОТП, РАСШИРЕННЫЙ")</f>
        <v>с МОТП, РАСШИРЕННЫЙ</v>
      </c>
      <c r="C510" s="4" t="str">
        <f ca="1">IFERROR(__xludf.DUMMYFUNCTION("""COMPUTED_VALUE"""),"SSY1-RTL15BT-ASTORTH7SP")</f>
        <v>SSY1-RTL15BT-ASTORTH7SP</v>
      </c>
      <c r="D510" s="4" t="str">
        <f ca="1">IFERROR(__xludf.DUMMYFUNCTION("""COMPUTED_VALUE"""),"Продление подписки на обновления Mobile SMARTS: Магазин 15 с МОТП, РАСШИРЕННЫЙ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дос"&amp;"тупные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QR-код"&amp;"ов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Интерн"&amp;"ет на 1 (один) год")</f>
        <v>Продление подписки на обновления Mobile SMARTS: Магазин 15 с МОТП, РАСШИРЕННЫЙ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0" s="4" t="str">
        <f ca="1">IFERROR(__xludf.DUMMYFUNCTION("""COMPUTED_VALUE"""),"Продление подписки на обновления Mobile SMARTS: Магазин 15 с МОТП, РАСШИРЕННЫЙ для «АСТОР: Торговый дом 7 SP», для работы с маркированным товаром: ТАБАК и товары по штрихкодам  на 1 (один) год")</f>
        <v>Продление подписки на обновления Mobile SMARTS: Магазин 15 с МОТП, РАСШИРЕННЫЙ для «АСТОР: Торговый дом 7 SP», для работы с маркированным товаром: ТАБАК и товары по штрихкодам  на 1 (один) год</v>
      </c>
      <c r="F510" s="5">
        <f ca="1">IFERROR(__xludf.DUMMYFUNCTION("""COMPUTED_VALUE"""),3490)</f>
        <v>3490</v>
      </c>
    </row>
    <row r="511" spans="1:6" ht="72" customHeight="1" x14ac:dyDescent="0.2">
      <c r="A511" s="4" t="str">
        <f ca="1">IFERROR(__xludf.DUMMYFUNCTION("""COMPUTED_VALUE"""),"«АСТОР: Торговый дом 7 SP»")</f>
        <v>«АСТОР: Торговый дом 7 SP»</v>
      </c>
      <c r="B511" s="4" t="str">
        <f ca="1">IFERROR(__xludf.DUMMYFUNCTION("""COMPUTED_VALUE"""),"с МОТП, МЕГАМАРКЕТ")</f>
        <v>с МОТП, МЕГАМАРКЕТ</v>
      </c>
      <c r="C511" s="4" t="str">
        <f ca="1">IFERROR(__xludf.DUMMYFUNCTION("""COMPUTED_VALUE"""),"SSY1-RTL15CT-ASTORTH7SP")</f>
        <v>SSY1-RTL15CT-ASTORTH7SP</v>
      </c>
      <c r="D511" s="4" t="str">
        <f ca="1">IFERROR(__xludf.DUMMYFUNCTION("""COMPUTED_VALUE"""),"Продление подписки на обновления Mobile SMARTS: Магазин 15 с МОТП, МЕГАМАРКЕТ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дост"&amp;"упные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QR-кодо"&amp;"в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"&amp;"и обмен через Интернет на 1 (один) год")</f>
        <v>Продление подписки на обновления Mobile SMARTS: Магазин 15 с МОТП, МЕГАМАРКЕТ для «АСТОР: Торговый дом 7 SP»,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1" s="4" t="str">
        <f ca="1">IFERROR(__xludf.DUMMYFUNCTION("""COMPUTED_VALUE"""),"Продление подписки на обновления Mobile SMARTS: Магазин 15 с МОТП, МЕГАМАРКЕТ для «АСТОР: Торговый дом 7 SP», для работы с маркированным товаром: ТАБАК и товары по штрихкодам  на 1 (один) год")</f>
        <v>Продление подписки на обновления Mobile SMARTS: Магазин 15 с МОТП, МЕГАМАРКЕТ для «АСТОР: Торговый дом 7 SP», для работы с маркированным товаром: ТАБАК и товары по штрихкодам  на 1 (один) год</v>
      </c>
      <c r="F511" s="5">
        <f ca="1">IFERROR(__xludf.DUMMYFUNCTION("""COMPUTED_VALUE"""),4770)</f>
        <v>4770</v>
      </c>
    </row>
    <row r="512" spans="1:6" ht="72" customHeight="1" x14ac:dyDescent="0.2">
      <c r="A512" s="4" t="str">
        <f ca="1">IFERROR(__xludf.DUMMYFUNCTION("""COMPUTED_VALUE"""),"«АСТОР: Торговый дом 7 SP»")</f>
        <v>«АСТОР: Торговый дом 7 SP»</v>
      </c>
      <c r="B512" s="4" t="str">
        <f ca="1">IFERROR(__xludf.DUMMYFUNCTION("""COMPUTED_VALUE"""),"с ЕГАИС и МОТП, БАЗОВЫЙ")</f>
        <v>с ЕГАИС и МОТП, БАЗОВЫЙ</v>
      </c>
      <c r="C512" s="4" t="str">
        <f ca="1">IFERROR(__xludf.DUMMYFUNCTION("""COMPUTED_VALUE"""),"SSY1-RTL15AET-ASTORTH7SP")</f>
        <v>SSY1-RTL15AET-ASTORTH7SP</v>
      </c>
      <c r="D512" s="4" t="str">
        <f ca="1">IFERROR(__xludf.DUMMYFUNCTION("""COMPUTED_VALUE"""),"Продление подписки на обновления Mobile SMARTS: Магазин 15 с ЕГАИС и МОТП, БАЗОВЫЙ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нет"&amp;"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"&amp;"КМ),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изменение"&amp;"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БАЗОВЫЙ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2" s="4" t="str">
        <f ca="1">IFERROR(__xludf.DUMMYFUNCTION("""COMPUTED_VALUE"""),"Продление подписки на обновления Mobile SMARTS: Магазин 15 с ЕГАИС и МОТП, БАЗОВЫЙ для «АСТОР: Торговый дом 7 SP»,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БАЗОВЫЙ для «АСТОР: Торговый дом 7 SP», для работы с маркированным товаром: АЛКОГОЛЬ, ТАБАК и товары по штрихкодам  на 1 (один) год</v>
      </c>
      <c r="F512" s="5">
        <f ca="1">IFERROR(__xludf.DUMMYFUNCTION("""COMPUTED_VALUE"""),2430)</f>
        <v>2430</v>
      </c>
    </row>
    <row r="513" spans="1:6" ht="72" customHeight="1" x14ac:dyDescent="0.2">
      <c r="A513" s="4" t="str">
        <f ca="1">IFERROR(__xludf.DUMMYFUNCTION("""COMPUTED_VALUE"""),"«АСТОР: Торговый дом 7 SP»")</f>
        <v>«АСТОР: Торговый дом 7 SP»</v>
      </c>
      <c r="B513" s="4" t="str">
        <f ca="1">IFERROR(__xludf.DUMMYFUNCTION("""COMPUTED_VALUE"""),"с ЕГАИС и МОТП, РАСШИРЕННЫЙ")</f>
        <v>с ЕГАИС и МОТП, РАСШИРЕННЫЙ</v>
      </c>
      <c r="C513" s="4" t="str">
        <f ca="1">IFERROR(__xludf.DUMMYFUNCTION("""COMPUTED_VALUE"""),"SSY1-RTL15BET-ASTORTH7SP")</f>
        <v>SSY1-RTL15BET-ASTORTH7SP</v>
      </c>
      <c r="D513" s="4" t="str">
        <f ca="1">IFERROR(__xludf.DUMMYFUNCTION("""COMPUTED_VALUE"""),"Продление подписки на обновления Mobile SMARTS: Магазин 15 с ЕГАИС и МОТП, РАСШИРЕННЫЙ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/"&amp;"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отгрузка"&amp;"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измен"&amp;"ение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РАСШИРЕННЫЙ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3" s="4" t="str">
        <f ca="1">IFERROR(__xludf.DUMMYFUNCTION("""COMPUTED_VALUE"""),"Продление подписки на обновления Mobile SMARTS: Магазин 15 с ЕГАИС и МОТП, РАСШИРЕННЫЙ для «АСТОР: Торговый дом 7 SP»,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РАСШИРЕННЫЙ для «АСТОР: Торговый дом 7 SP», для работы с маркированным товаром: АЛКОГОЛЬ, ТАБАК и товары по штрихкодам  на 1 (один) год</v>
      </c>
      <c r="F513" s="5">
        <f ca="1">IFERROR(__xludf.DUMMYFUNCTION("""COMPUTED_VALUE"""),3710)</f>
        <v>3710</v>
      </c>
    </row>
    <row r="514" spans="1:6" ht="72" customHeight="1" x14ac:dyDescent="0.2">
      <c r="A514" s="4" t="str">
        <f ca="1">IFERROR(__xludf.DUMMYFUNCTION("""COMPUTED_VALUE"""),"«АСТОР: Торговый дом 7 SP»")</f>
        <v>«АСТОР: Торговый дом 7 SP»</v>
      </c>
      <c r="B514" s="4" t="str">
        <f ca="1">IFERROR(__xludf.DUMMYFUNCTION("""COMPUTED_VALUE"""),"с ЕГАИС и МОТП, МЕГАМАРКЕТ")</f>
        <v>с ЕГАИС и МОТП, МЕГАМАРКЕТ</v>
      </c>
      <c r="C514" s="4" t="str">
        <f ca="1">IFERROR(__xludf.DUMMYFUNCTION("""COMPUTED_VALUE"""),"SSY1-RTL15CET-ASTORTH7SP")</f>
        <v>SSY1-RTL15CET-ASTORTH7SP</v>
      </c>
      <c r="D514" s="4" t="str">
        <f ca="1">IFERROR(__xludf.DUMMYFUNCTION("""COMPUTED_VALUE"""),"Продление подписки на обновления Mobile SMARTS: Магазин 15 с ЕГАИС и МОТП, МЕГАМАРКЕТ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"&amp;"есть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"&amp;"по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цен"&amp;"ах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и МОТП, МЕГАМАРКЕТ для «АСТОР: Торговый дом 7 SP»,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4" s="4" t="str">
        <f ca="1">IFERROR(__xludf.DUMMYFUNCTION("""COMPUTED_VALUE"""),"Продление подписки на обновления Mobile SMARTS: Магазин 15 с ЕГАИС и МОТП, МЕГАМАРКЕТ для «АСТОР: Торговый дом 7 SP», для работы с маркированным товаром: АЛКОГОЛЬ, ТАБАК и товары по штрихкодам  на 1 (один) год")</f>
        <v>Продление подписки на обновления Mobile SMARTS: Магазин 15 с ЕГАИС и МОТП, МЕГАМАРКЕТ для «АСТОР: Торговый дом 7 SP», для работы с маркированным товаром: АЛКОГОЛЬ, ТАБАК и товары по штрихкодам  на 1 (один) год</v>
      </c>
      <c r="F514" s="5">
        <f ca="1">IFERROR(__xludf.DUMMYFUNCTION("""COMPUTED_VALUE"""),5270)</f>
        <v>5270</v>
      </c>
    </row>
    <row r="515" spans="1:6" ht="72" customHeight="1" x14ac:dyDescent="0.2">
      <c r="A515" s="4" t="str">
        <f ca="1">IFERROR(__xludf.DUMMYFUNCTION("""COMPUTED_VALUE"""),"«АСТОР: Модный магазин 7 SE»")</f>
        <v>«АСТОР: Модный магазин 7 SE»</v>
      </c>
      <c r="B515" s="4" t="str">
        <f ca="1">IFERROR(__xludf.DUMMYFUNCTION("""COMPUTED_VALUE"""),"МИНИМУМ")</f>
        <v>МИНИМУМ</v>
      </c>
      <c r="C515" s="4" t="str">
        <f ca="1">IFERROR(__xludf.DUMMYFUNCTION("""COMPUTED_VALUE"""),"SSY1-RTL15M-ASTORFS7SE")</f>
        <v>SSY1-RTL15M-ASTORFS7SE</v>
      </c>
      <c r="D515" s="4" t="str">
        <f ca="1">IFERROR(__xludf.DUMMYFUNCTION("""COMPUTED_VALUE"""),"Продление подписки на обновления Mobile SMARTS: Магазин 15, МИНИМУМ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инвен"&amp;"таризация,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обм"&amp;"ен через Интернет на 1 (один) год")</f>
        <v>Продление подписки на обновления Mobile SMARTS: Магазин 15, МИНИМУМ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15" s="4" t="str">
        <f ca="1">IFERROR(__xludf.DUMMYFUNCTION("""COMPUTED_VALUE"""),"Продление подписки на обновления Mobile SMARTS: Магазин 15, МИНИМУМ для «АСТОР: Модный магазин 7 SE», для работы с товаром по штрихкодам  на 1 (один) год")</f>
        <v>Продление подписки на обновления Mobile SMARTS: Магазин 15, МИНИМУМ для «АСТОР: Модный магазин 7 SE», для работы с товаром по штрихкодам  на 1 (один) год</v>
      </c>
      <c r="F515" s="5">
        <f ca="1">IFERROR(__xludf.DUMMYFUNCTION("""COMPUTED_VALUE"""),690)</f>
        <v>690</v>
      </c>
    </row>
    <row r="516" spans="1:6" ht="72" customHeight="1" x14ac:dyDescent="0.2">
      <c r="A516" s="4" t="str">
        <f ca="1">IFERROR(__xludf.DUMMYFUNCTION("""COMPUTED_VALUE"""),"«АСТОР: Модный магазин 7 SE»")</f>
        <v>«АСТОР: Модный магазин 7 SE»</v>
      </c>
      <c r="B516" s="4" t="str">
        <f ca="1">IFERROR(__xludf.DUMMYFUNCTION("""COMPUTED_VALUE"""),"БАЗОВЫЙ")</f>
        <v>БАЗОВЫЙ</v>
      </c>
      <c r="C516" s="4" t="str">
        <f ca="1">IFERROR(__xludf.DUMMYFUNCTION("""COMPUTED_VALUE"""),"SSY1-RTL15A-ASTORFS7SE")</f>
        <v>SSY1-RTL15A-ASTORFS7SE</v>
      </c>
      <c r="D516" s="4" t="str">
        <f ca="1">IFERROR(__xludf.DUMMYFUNCTION("""COMPUTED_VALUE"""),"Продление подписки на обновления Mobile SMARTS: Магазин 15, БАЗОВЫЙ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инвентари"&amp;"зация,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э"&amp;"кране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«АСТОР: Модный магазин 7 SE»,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6" s="4" t="str">
        <f ca="1">IFERROR(__xludf.DUMMYFUNCTION("""COMPUTED_VALUE"""),"Продление подписки на обновления Mobile SMARTS: Магазин 15, БАЗОВЫЙ для «АСТОР: Модный магазин 7 SE», для работы с товаром по штрихкодам  на 1 (один) год")</f>
        <v>Продление подписки на обновления Mobile SMARTS: Магазин 15, БАЗОВЫЙ для «АСТОР: Модный магазин 7 SE», для работы с товаром по штрихкодам  на 1 (один) год</v>
      </c>
      <c r="F516" s="5">
        <f ca="1">IFERROR(__xludf.DUMMYFUNCTION("""COMPUTED_VALUE"""),1730)</f>
        <v>1730</v>
      </c>
    </row>
    <row r="517" spans="1:6" ht="72" customHeight="1" x14ac:dyDescent="0.2">
      <c r="A517" s="4" t="str">
        <f ca="1">IFERROR(__xludf.DUMMYFUNCTION("""COMPUTED_VALUE"""),"«АСТОР: Модный магазин 7 SE»")</f>
        <v>«АСТОР: Модный магазин 7 SE»</v>
      </c>
      <c r="B517" s="4" t="str">
        <f ca="1">IFERROR(__xludf.DUMMYFUNCTION("""COMPUTED_VALUE"""),"РАСШИРЕННЫЙ")</f>
        <v>РАСШИРЕННЫЙ</v>
      </c>
      <c r="C517" s="4" t="str">
        <f ca="1">IFERROR(__xludf.DUMMYFUNCTION("""COMPUTED_VALUE"""),"SSY1-RTL15B-ASTORFS7SE")</f>
        <v>SSY1-RTL15B-ASTORFS7SE</v>
      </c>
      <c r="D517" s="4" t="str">
        <f ca="1">IFERROR(__xludf.DUMMYFUNCTION("""COMPUTED_VALUE"""),"Продление подписки на обновления Mobile SMARTS: Магазин 15, РАСШИРЕННЫЙ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инвен"&amp;"таризация,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"&amp;"на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РАСШИРЕННЫЙ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7" s="4" t="str">
        <f ca="1">IFERROR(__xludf.DUMMYFUNCTION("""COMPUTED_VALUE"""),"Продление подписки на обновления Mobile SMARTS: Магазин 15, РАСШИРЕННЫЙ для «АСТОР: Модный магазин 7 SE», для работы с товаром по штрихкодам  на 1 (один) год")</f>
        <v>Продление подписки на обновления Mobile SMARTS: Магазин 15, РАСШИРЕННЫЙ для «АСТОР: Модный магазин 7 SE», для работы с товаром по штрихкодам  на 1 (один) год</v>
      </c>
      <c r="F517" s="5">
        <f ca="1">IFERROR(__xludf.DUMMYFUNCTION("""COMPUTED_VALUE"""),3010)</f>
        <v>3010</v>
      </c>
    </row>
    <row r="518" spans="1:6" ht="72" customHeight="1" x14ac:dyDescent="0.2">
      <c r="A518" s="4" t="str">
        <f ca="1">IFERROR(__xludf.DUMMYFUNCTION("""COMPUTED_VALUE"""),"«АСТОР: Модный магазин 7 SE»")</f>
        <v>«АСТОР: Модный магазин 7 SE»</v>
      </c>
      <c r="B518" s="4" t="str">
        <f ca="1">IFERROR(__xludf.DUMMYFUNCTION("""COMPUTED_VALUE"""),"МЕГАМАРКЕТ")</f>
        <v>МЕГАМАРКЕТ</v>
      </c>
      <c r="C518" s="4" t="str">
        <f ca="1">IFERROR(__xludf.DUMMYFUNCTION("""COMPUTED_VALUE"""),"SSY1-RTL15C-ASTORFS7SE")</f>
        <v>SSY1-RTL15C-ASTORFS7SE</v>
      </c>
      <c r="D518" s="4" t="str">
        <f ca="1">IFERROR(__xludf.DUMMYFUNCTION("""COMPUTED_VALUE"""),"Продление подписки на обновления Mobile SMARTS: Магазин 15, МЕГАМАРКЕТ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инвент"&amp;"аризация,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контрагента"&amp;"х,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МЕГАМАРКЕТ для «АСТОР: Модный магазин 7 SE»,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18" s="4" t="str">
        <f ca="1">IFERROR(__xludf.DUMMYFUNCTION("""COMPUTED_VALUE"""),"Продление подписки на обновления Mobile SMARTS: Магазин 15, МЕГАМАРКЕТ для «АСТОР: Модный магазин 7 SE», для работы с товаром по штрихкодам  на 1 (один) год")</f>
        <v>Продление подписки на обновления Mobile SMARTS: Магазин 15, МЕГАМАРКЕТ для «АСТОР: Модный магазин 7 SE», для работы с товаром по штрихкодам  на 1 (один) год</v>
      </c>
      <c r="F518" s="5">
        <f ca="1">IFERROR(__xludf.DUMMYFUNCTION("""COMPUTED_VALUE"""),4310)</f>
        <v>4310</v>
      </c>
    </row>
    <row r="519" spans="1:6" ht="72" customHeight="1" x14ac:dyDescent="0.2">
      <c r="A519" s="4"/>
      <c r="B519" s="4"/>
      <c r="C519" s="4" t="str">
        <f ca="1">IFERROR(__xludf.DUMMYFUNCTION("""COMPUTED_VALUE"""),"SSY1-")</f>
        <v>SSY1-</v>
      </c>
      <c r="D519" s="4" t="str">
        <f ca="1">IFERROR(__xludf.DUMMYFUNCTION("""COMPUTED_VALUE"""),"Продление подписки на обновления Лицензии для «Рарус» стандартные")</f>
        <v>Продление подписки на обновления Лицензии для «Рарус» стандартные</v>
      </c>
      <c r="E519" s="4" t="str">
        <f ca="1">IFERROR(__xludf.DUMMYFUNCTION("""COMPUTED_VALUE"""),"#VALUE!")</f>
        <v>#VALUE!</v>
      </c>
      <c r="F519" s="4" t="str">
        <f ca="1">IFERROR(__xludf.DUMMYFUNCTION("""COMPUTED_VALUE"""),"#N/A")</f>
        <v>#N/A</v>
      </c>
    </row>
    <row r="520" spans="1:6" ht="72" customHeight="1" x14ac:dyDescent="0.2">
      <c r="A520" s="4" t="str">
        <f ca="1">IFERROR(__xludf.DUMMYFUNCTION("""COMPUTED_VALUE"""),"«1С-Рарус: Торговый комплекс. Продовольственная сеть 8.1»")</f>
        <v>«1С-Рарус: Торговый комплекс. Продовольственная сеть 8.1»</v>
      </c>
      <c r="B520" s="4" t="str">
        <f ca="1">IFERROR(__xludf.DUMMYFUNCTION("""COMPUTED_VALUE"""),"МИНИМУМ")</f>
        <v>МИНИМУМ</v>
      </c>
      <c r="C520" s="4" t="str">
        <f ca="1">IFERROR(__xludf.DUMMYFUNCTION("""COMPUTED_VALUE"""),"SSY1-RTL15M-TKTS")</f>
        <v>SSY1-RTL15M-TKTS</v>
      </c>
      <c r="D520" s="4" t="str">
        <f ca="1">IFERROR(__xludf.DUMMYFUNCTION("""COMPUTED_VALUE"""),"Продление подписки на обновления 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"&amp;"Интернет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0" s="4" t="str">
        <f ca="1">IFERROR(__xludf.DUMMYFUNCTION("""COMPUTED_VALUE"""),"Продление подписки на обновления 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 на 1 (один) год")</f>
        <v>Продление подписки на обновления Mobile SMARTS: Магазин 15, МИНИМУМ для «1С-Рарус: Торговый комплекс. Продовольственная сеть 8.1», интеграция разработана правообладателем программного продукта «1С-Рарус»  на 1 (один) год</v>
      </c>
      <c r="F520" s="5">
        <f ca="1">IFERROR(__xludf.DUMMYFUNCTION("""COMPUTED_VALUE"""),690)</f>
        <v>690</v>
      </c>
    </row>
    <row r="521" spans="1:6" ht="72" customHeight="1" x14ac:dyDescent="0.2">
      <c r="A521" s="4" t="str">
        <f ca="1">IFERROR(__xludf.DUMMYFUNCTION("""COMPUTED_VALUE"""),"«1С-Рарус: Торговый комплекс. Продовольственная сеть 8.1»")</f>
        <v>«1С-Рарус: Торговый комплекс. Продовольственная сеть 8.1»</v>
      </c>
      <c r="B521" s="4" t="str">
        <f ca="1">IFERROR(__xludf.DUMMYFUNCTION("""COMPUTED_VALUE"""),"БАЗОВЫЙ")</f>
        <v>БАЗОВЫЙ</v>
      </c>
      <c r="C521" s="4" t="str">
        <f ca="1">IFERROR(__xludf.DUMMYFUNCTION("""COMPUTED_VALUE"""),"SSY1-RTL15A-TKTS")</f>
        <v>SSY1-RTL15A-TKTS</v>
      </c>
      <c r="D521" s="4" t="str">
        <f ca="1">IFERROR(__xludf.DUMMYFUNCTION("""COMPUTED_VALUE"""),"Продление подписки на обновления 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"&amp;"Интернет / нет онлайна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добав"&amp;"лять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1" s="4" t="str">
        <f ca="1">IFERROR(__xludf.DUMMYFUNCTION("""COMPUTED_VALUE"""),"Продление подписки на обновления 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 на 1 (один) год")</f>
        <v>Продление подписки на обновления Mobile SMARTS: Магазин 15, БАЗОВЫЙ для «1С-Рарус: Торговый комплекс. Продовольственная сеть 8.1», интеграция разработана правообладателем программного продукта «1С-Рарус»  на 1 (один) год</v>
      </c>
      <c r="F521" s="5">
        <f ca="1">IFERROR(__xludf.DUMMYFUNCTION("""COMPUTED_VALUE"""),1730)</f>
        <v>1730</v>
      </c>
    </row>
    <row r="522" spans="1:6" ht="72" customHeight="1" x14ac:dyDescent="0.2">
      <c r="A522" s="4" t="str">
        <f ca="1">IFERROR(__xludf.DUMMYFUNCTION("""COMPUTED_VALUE"""),"«1С-Рарус: Торговый комплекс. Продовольственная сеть 8.1»")</f>
        <v>«1С-Рарус: Торговый комплекс. Продовольственная сеть 8.1»</v>
      </c>
      <c r="B522" s="4" t="str">
        <f ca="1">IFERROR(__xludf.DUMMYFUNCTION("""COMPUTED_VALUE"""),"с ЕГАИС, БАЗОВЫЙ")</f>
        <v>с ЕГАИС, БАЗОВЫЙ</v>
      </c>
      <c r="C522" s="4" t="str">
        <f ca="1">IFERROR(__xludf.DUMMYFUNCTION("""COMPUTED_VALUE"""),"SSY1-RTL15AE-TKTS")</f>
        <v>SSY1-RTL15AE-TKTS</v>
      </c>
      <c r="D522" s="4" t="str">
        <f ca="1">IFERROR(__xludf.DUMMYFUNCTION("""COMPUTED_VALUE"""),"Продление подписки на обновления 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обме"&amp;"н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QR-кодов"&amp;"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2" s="4" t="str">
        <f ca="1">IFERROR(__xludf.DUMMYFUNCTION("""COMPUTED_VALUE"""),"Продление подписки на обновления 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 на 1 (один) год")</f>
        <v>Продление подписки на обновления Mobile SMARTS: Магазин 15 с ЕГАИС, БАЗОВЫЙ для «1С-Рарус: Торговый комплекс. Продовольственная сеть 8.1», интеграция разработана правообладателем программного продукта «1С-Рарус»  на 1 (один) год</v>
      </c>
      <c r="F522" s="5">
        <f ca="1">IFERROR(__xludf.DUMMYFUNCTION("""COMPUTED_VALUE"""),3010)</f>
        <v>3010</v>
      </c>
    </row>
    <row r="523" spans="1:6" ht="72" customHeight="1" x14ac:dyDescent="0.2">
      <c r="A523" s="4" t="str">
        <f ca="1">IFERROR(__xludf.DUMMYFUNCTION("""COMPUTED_VALUE"""),"«1С-Рарус: Торговый комплекс. Продовольственные товары 8.1»")</f>
        <v>«1С-Рарус: Торговый комплекс. Продовольственные товары 8.1»</v>
      </c>
      <c r="B523" s="4" t="str">
        <f ca="1">IFERROR(__xludf.DUMMYFUNCTION("""COMPUTED_VALUE"""),"МИНИМУМ")</f>
        <v>МИНИМУМ</v>
      </c>
      <c r="C523" s="4" t="str">
        <f ca="1">IFERROR(__xludf.DUMMYFUNCTION("""COMPUTED_VALUE"""),"SSY1-RTL15M-TKPT")</f>
        <v>SSY1-RTL15M-TKPT</v>
      </c>
      <c r="D523" s="4" t="str">
        <f ca="1">IFERROR(__xludf.DUMMYFUNCTION("""COMPUTED_VALUE"""),"Продление подписки на обновления 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чере"&amp;"з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через"&amp;" Интернет на 1 (один) год")</f>
        <v>Продление подписки на обновления 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3" s="4" t="str">
        <f ca="1">IFERROR(__xludf.DUMMYFUNCTION("""COMPUTED_VALUE"""),"Продление подписки на обновления 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 на 1 (один) год")</f>
        <v>Продление подписки на обновления Mobile SMARTS: Магазин 15, МИНИМУМ для «1С-Рарус: Торговый комплекс. Продовольственные товары 8.1», интеграция разработана правообладателем программного продукта «1С-Рарус»  на 1 (один) год</v>
      </c>
      <c r="F523" s="5">
        <f ca="1">IFERROR(__xludf.DUMMYFUNCTION("""COMPUTED_VALUE"""),690)</f>
        <v>690</v>
      </c>
    </row>
    <row r="524" spans="1:6" ht="72" customHeight="1" x14ac:dyDescent="0.2">
      <c r="A524" s="4" t="str">
        <f ca="1">IFERROR(__xludf.DUMMYFUNCTION("""COMPUTED_VALUE"""),"«1С-Рарус: Торговый комплекс. Продовольственные товары 8.1»")</f>
        <v>«1С-Рарус: Торговый комплекс. Продовольственные товары 8.1»</v>
      </c>
      <c r="B524" s="4" t="str">
        <f ca="1">IFERROR(__xludf.DUMMYFUNCTION("""COMPUTED_VALUE"""),"БАЗОВЫЙ")</f>
        <v>БАЗОВЫЙ</v>
      </c>
      <c r="C524" s="4" t="str">
        <f ca="1">IFERROR(__xludf.DUMMYFUNCTION("""COMPUTED_VALUE"""),"SSY1-RTL15A-TKPT")</f>
        <v>SSY1-RTL15A-TKPT</v>
      </c>
      <c r="D524" s="4" t="str">
        <f ca="1">IFERROR(__xludf.DUMMYFUNCTION("""COMPUTED_VALUE"""),"Продление подписки на обновления 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чере"&amp;"з Интернет / нет онлайна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доб"&amp;"авлять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4" s="4" t="str">
        <f ca="1">IFERROR(__xludf.DUMMYFUNCTION("""COMPUTED_VALUE"""),"Продление подписки на обновления 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 на 1 (один) год")</f>
        <v>Продление подписки на обновления Mobile SMARTS: Магазин 15, БАЗОВЫЙ для «1С-Рарус: Торговый комплекс. Продовольственные товары 8.1», интеграция разработана правообладателем программного продукта «1С-Рарус»  на 1 (один) год</v>
      </c>
      <c r="F524" s="5">
        <f ca="1">IFERROR(__xludf.DUMMYFUNCTION("""COMPUTED_VALUE"""),1730)</f>
        <v>1730</v>
      </c>
    </row>
    <row r="525" spans="1:6" ht="72" customHeight="1" x14ac:dyDescent="0.2">
      <c r="A525" s="4" t="str">
        <f ca="1">IFERROR(__xludf.DUMMYFUNCTION("""COMPUTED_VALUE"""),"«1С-Рарус: Торговый комплекс. Продовольственные товары 8.1»")</f>
        <v>«1С-Рарус: Торговый комплекс. Продовольственные товары 8.1»</v>
      </c>
      <c r="B525" s="4" t="str">
        <f ca="1">IFERROR(__xludf.DUMMYFUNCTION("""COMPUTED_VALUE"""),"с ЕГАИС, БАЗОВЫЙ")</f>
        <v>с ЕГАИС, БАЗОВЫЙ</v>
      </c>
      <c r="C525" s="4" t="str">
        <f ca="1">IFERROR(__xludf.DUMMYFUNCTION("""COMPUTED_VALUE"""),"SSY1-RTL15AE-TKPT")</f>
        <v>SSY1-RTL15AE-TKPT</v>
      </c>
      <c r="D525" s="4" t="str">
        <f ca="1">IFERROR(__xludf.DUMMYFUNCTION("""COMPUTED_VALUE"""),"Продление подписки на обновления 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об"&amp;"мен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QR-код"&amp;"ов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информация о товаре по штрихкоду, инвентаризация, поступление, возврат, перемещение, постановка на баланс ЕГАИС, приемка алкоголя, возврат алкоголя, списание алкоголя, проверка QR-кодов / возможности: печать на мобильный принтер,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5" s="4" t="str">
        <f ca="1">IFERROR(__xludf.DUMMYFUNCTION("""COMPUTED_VALUE"""),"Продление подписки на обновления 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 на 1 (один) год")</f>
        <v>Продление подписки на обновления Mobile SMARTS: Магазин 15 с ЕГАИС, БАЗОВЫЙ для «1С-Рарус: Торговый комплекс. Продовольственные товары 8.1», интеграция разработана правообладателем программного продукта «1С-Рарус»  на 1 (один) год</v>
      </c>
      <c r="F525" s="5">
        <f ca="1">IFERROR(__xludf.DUMMYFUNCTION("""COMPUTED_VALUE"""),3010)</f>
        <v>3010</v>
      </c>
    </row>
    <row r="526" spans="1:6" ht="72" customHeight="1" x14ac:dyDescent="0.2">
      <c r="A526" s="4" t="str">
        <f ca="1">IFERROR(__xludf.DUMMYFUNCTION("""COMPUTED_VALUE"""),"«1С: Общепит»")</f>
        <v>«1С: Общепит»</v>
      </c>
      <c r="B526" s="4" t="str">
        <f ca="1">IFERROR(__xludf.DUMMYFUNCTION("""COMPUTED_VALUE"""),"с ЕГАИС, БАЗОВЫЙ")</f>
        <v>с ЕГАИС, БАЗОВЫЙ</v>
      </c>
      <c r="C526" s="4" t="str">
        <f ca="1">IFERROR(__xludf.DUMMYFUNCTION("""COMPUTED_VALUE"""),"SSY1-RTL15AE-1COP30")</f>
        <v>SSY1-RTL15AE-1COP30</v>
      </c>
      <c r="D526" s="4" t="str">
        <f ca="1">IFERROR(__xludf.DUMMYFUNCTION("""COMPUTED_VALUE"""),"Продление подписки на обновления Mobile SMARTS: Магазин 15 с ЕГАИС, БАЗОВЫЙ для «1С: Общепит»,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о"&amp;"перации: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«1С: Общепит»,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6" s="4" t="str">
        <f ca="1">IFERROR(__xludf.DUMMYFUNCTION("""COMPUTED_VALUE"""),"Продление подписки на обновления Mobile SMARTS: Магазин 15 с ЕГАИС, БАЗОВЫЙ для «1С: Общепит», интеграция разработана правообладателем программного продукта «1С-Рарус»  на 1 (один) год")</f>
        <v>Продление подписки на обновления Mobile SMARTS: Магазин 15 с ЕГАИС, БАЗОВЫЙ для «1С: Общепит», интеграция разработана правообладателем программного продукта «1С-Рарус»  на 1 (один) год</v>
      </c>
      <c r="F526" s="5">
        <f ca="1">IFERROR(__xludf.DUMMYFUNCTION("""COMPUTED_VALUE"""),1331.6)</f>
        <v>1331.6</v>
      </c>
    </row>
    <row r="527" spans="1:6" ht="72" customHeight="1" x14ac:dyDescent="0.2">
      <c r="A527" s="4" t="str">
        <f ca="1">IFERROR(__xludf.DUMMYFUNCTION("""COMPUTED_VALUE"""),"«1С: Общепит КОРП»")</f>
        <v>«1С: Общепит КОРП»</v>
      </c>
      <c r="B527" s="4" t="str">
        <f ca="1">IFERROR(__xludf.DUMMYFUNCTION("""COMPUTED_VALUE"""),"с ЕГАИС, БАЗОВЫЙ")</f>
        <v>с ЕГАИС, БАЗОВЫЙ</v>
      </c>
      <c r="C527" s="4" t="str">
        <f ca="1">IFERROR(__xludf.DUMMYFUNCTION("""COMPUTED_VALUE"""),"SSY1-RTL15AE-1COPK30")</f>
        <v>SSY1-RTL15AE-1COPK30</v>
      </c>
      <c r="D527" s="4" t="str">
        <f ca="1">IFERROR(__xludf.DUMMYFUNCTION("""COMPUTED_VALUE"""),"Продление подписки на обновления Mobile SMARTS: Магазин 15 с ЕГАИС, БАЗОВЫЙ для «1С: Общепит КОРП»,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доступ"&amp;"ные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«1С: Общепит КОРП»,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7" s="4" t="str">
        <f ca="1">IFERROR(__xludf.DUMMYFUNCTION("""COMPUTED_VALUE"""),"Продление подписки на обновления Mobile SMARTS: Магазин 15 с ЕГАИС, БАЗОВЫЙ для «1С: Общепит КОРП», интеграция разработана правообладателем программного продукта «1С-Рарус»  на 1 (один) год")</f>
        <v>Продление подписки на обновления Mobile SMARTS: Магазин 15 с ЕГАИС, БАЗОВЫЙ для «1С: Общепит КОРП», интеграция разработана правообладателем программного продукта «1С-Рарус»  на 1 (один) год</v>
      </c>
      <c r="F527" s="5">
        <f ca="1">IFERROR(__xludf.DUMMYFUNCTION("""COMPUTED_VALUE"""),1331.6)</f>
        <v>1331.6</v>
      </c>
    </row>
    <row r="528" spans="1:6" ht="72" customHeight="1" x14ac:dyDescent="0.2">
      <c r="A528" s="4" t="str">
        <f ca="1">IFERROR(__xludf.DUMMYFUNCTION("""COMPUTED_VALUE"""),"«1С-Рарус: Управление рестораном 3»")</f>
        <v>«1С-Рарус: Управление рестораном 3»</v>
      </c>
      <c r="B528" s="4" t="str">
        <f ca="1">IFERROR(__xludf.DUMMYFUNCTION("""COMPUTED_VALUE"""),"с ЕГАИС, БАЗОВЫЙ")</f>
        <v>с ЕГАИС, БАЗОВЫЙ</v>
      </c>
      <c r="C528" s="4" t="str">
        <f ca="1">IFERROR(__xludf.DUMMYFUNCTION("""COMPUTED_VALUE"""),"SSY1-RTL15AE-1CUR30")</f>
        <v>SSY1-RTL15AE-1CUR30</v>
      </c>
      <c r="D528" s="4" t="str">
        <f ca="1">IFERROR(__xludf.DUMMYFUNCTION("""COMPUTED_VALUE"""),"Продление подписки на обновления Mobile SMARTS: Магазин 15 с ЕГАИС, БАЗОВЫЙ для «1С-Рарус: Управление рестораном 3», интеграция разработана правообладателем программного продукта «1С-Рарус» / на выбор проводной, беспроводной или обмен через Интернет / нет"&amp;"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("&amp;"один) год")</f>
        <v>Продление подписки на обновления Mobile SMARTS: Магазин 15 с ЕГАИС, БАЗОВЫЙ для «1С-Рарус: Управление рестораном 3»,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8" s="4" t="str">
        <f ca="1">IFERROR(__xludf.DUMMYFUNCTION("""COMPUTED_VALUE"""),"Продление подписки на обновления Mobile SMARTS: Магазин 15 с ЕГАИС, БАЗОВЫЙ для «1С-Рарус: Управление рестораном 3», интеграция разработана правообладателем программного продукта «1С-Рарус»  на 1 (один) год")</f>
        <v>Продление подписки на обновления Mobile SMARTS: Магазин 15 с ЕГАИС, БАЗОВЫЙ для «1С-Рарус: Управление рестораном 3», интеграция разработана правообладателем программного продукта «1С-Рарус»  на 1 (один) год</v>
      </c>
      <c r="F528" s="5">
        <f ca="1">IFERROR(__xludf.DUMMYFUNCTION("""COMPUTED_VALUE"""),1331.6)</f>
        <v>1331.6</v>
      </c>
    </row>
    <row r="529" spans="1:6" ht="72" customHeight="1" x14ac:dyDescent="0.2">
      <c r="A529" s="4" t="str">
        <f ca="1">IFERROR(__xludf.DUMMYFUNCTION("""COMPUTED_VALUE"""),"«1С-Рарус: Комбинат питания 1»")</f>
        <v>«1С-Рарус: Комбинат питания 1»</v>
      </c>
      <c r="B529" s="4" t="str">
        <f ca="1">IFERROR(__xludf.DUMMYFUNCTION("""COMPUTED_VALUE"""),"с ЕГАИС, БАЗОВЫЙ")</f>
        <v>с ЕГАИС, БАЗОВЫЙ</v>
      </c>
      <c r="C529" s="4" t="str">
        <f ca="1">IFERROR(__xludf.DUMMYFUNCTION("""COMPUTED_VALUE"""),"SSY1-RTL15AE-1CKP10")</f>
        <v>SSY1-RTL15AE-1CKP10</v>
      </c>
      <c r="D529" s="4" t="str">
        <f ca="1">IFERROR(__xludf.DUMMYFUNCTION("""COMPUTED_VALUE"""),"Продление подписки на обновления Mobile SMARTS: Магазин 15 с ЕГАИС, БАЗОВЫЙ для «1С-Рарус: Комбинат питания 1», интеграция разработана правообладателем программного продукта «1С-Рарус» / на выбор проводной, беспроводной или обмен через Интернет / нет онла"&amp;"йна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(один)"&amp;" год")</f>
        <v>Продление подписки на обновления Mobile SMARTS: Магазин 15 с ЕГАИС, БАЗОВЫЙ для «1С-Рарус: Комбинат питания 1»,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29" s="4" t="str">
        <f ca="1">IFERROR(__xludf.DUMMYFUNCTION("""COMPUTED_VALUE"""),"Продление подписки на обновления Mobile SMARTS: Магазин 15 с ЕГАИС, БАЗОВЫЙ для «1С-Рарус: Комбинат питания 1», интеграция разработана правообладателем программного продукта «1С-Рарус»  на 1 (один) год")</f>
        <v>Продление подписки на обновления Mobile SMARTS: Магазин 15 с ЕГАИС, БАЗОВЫЙ для «1С-Рарус: Комбинат питания 1», интеграция разработана правообладателем программного продукта «1С-Рарус»  на 1 (один) год</v>
      </c>
      <c r="F529" s="5">
        <f ca="1">IFERROR(__xludf.DUMMYFUNCTION("""COMPUTED_VALUE"""),1331.6)</f>
        <v>1331.6</v>
      </c>
    </row>
    <row r="530" spans="1:6" ht="72" customHeight="1" x14ac:dyDescent="0.2">
      <c r="A530" s="4" t="str">
        <f ca="1">IFERROR(__xludf.DUMMYFUNCTION("""COMPUTED_VALUE"""),"«1С-Рарус: Управление отелем 2»")</f>
        <v>«1С-Рарус: Управление отелем 2»</v>
      </c>
      <c r="B530" s="4" t="str">
        <f ca="1">IFERROR(__xludf.DUMMYFUNCTION("""COMPUTED_VALUE"""),"с ЕГАИС, БАЗОВЫЙ")</f>
        <v>с ЕГАИС, БАЗОВЫЙ</v>
      </c>
      <c r="C530" s="4" t="str">
        <f ca="1">IFERROR(__xludf.DUMMYFUNCTION("""COMPUTED_VALUE"""),"SSY1-RTL15AE-1CMH")</f>
        <v>SSY1-RTL15AE-1CMH</v>
      </c>
      <c r="D530" s="4" t="str">
        <f ca="1">IFERROR(__xludf.DUMMYFUNCTION("""COMPUTED_VALUE"""),"Продление подписки на обновления Mobile SMARTS: Магазин 15 с ЕГАИС, БАЗОВЫЙ для «1С-Рарус: Управление отелем 2», интеграция разработана правообладателем программного продукта «1С-Рарус» / на выбор проводной, беспроводной или обмен через Интернет / нет онл"&amp;"айна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(один"&amp;") год")</f>
        <v>Продление подписки на обновления Mobile SMARTS: Магазин 15 с ЕГАИС, БАЗОВЫЙ для «1С-Рарус: Управление отелем 2»,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0" s="4" t="str">
        <f ca="1">IFERROR(__xludf.DUMMYFUNCTION("""COMPUTED_VALUE"""),"Продление подписки на обновления Mobile SMARTS: Магазин 15 с ЕГАИС, БАЗОВЫЙ для «1С-Рарус: Управление отелем 2», интеграция разработана правообладателем программного продукта «1С-Рарус»  на 1 (один) год")</f>
        <v>Продление подписки на обновления Mobile SMARTS: Магазин 15 с ЕГАИС, БАЗОВЫЙ для «1С-Рарус: Управление отелем 2», интеграция разработана правообладателем программного продукта «1С-Рарус»  на 1 (один) год</v>
      </c>
      <c r="F530" s="5">
        <f ca="1">IFERROR(__xludf.DUMMYFUNCTION("""COMPUTED_VALUE"""),1331.6)</f>
        <v>1331.6</v>
      </c>
    </row>
    <row r="531" spans="1:6" ht="72" customHeight="1" x14ac:dyDescent="0.2">
      <c r="A531" s="4" t="str">
        <f ca="1">IFERROR(__xludf.DUMMYFUNCTION("""COMPUTED_VALUE"""),"«1С-Рарус: Управление санаторно-курортным комплексом 2»")</f>
        <v>«1С-Рарус: Управление санаторно-курортным комплексом 2»</v>
      </c>
      <c r="B531" s="4" t="str">
        <f ca="1">IFERROR(__xludf.DUMMYFUNCTION("""COMPUTED_VALUE"""),"с ЕГАИС, БАЗОВЫЙ")</f>
        <v>с ЕГАИС, БАЗОВЫЙ</v>
      </c>
      <c r="C531" s="4" t="str">
        <f ca="1">IFERROR(__xludf.DUMMYFUNCTION("""COMPUTED_VALUE"""),"SSY1-RTL15AE-1CMSRC")</f>
        <v>SSY1-RTL15AE-1CMSRC</v>
      </c>
      <c r="D531" s="4" t="str">
        <f ca="1">IFERROR(__xludf.DUMMYFUNCTION("""COMPUTED_VALUE"""),"Продление подписки на обновления 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/ на выбор проводной, беспроводной или обмен "&amp;"через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ч"&amp;"ерез Интернет на 1 (один) год")</f>
        <v>Продление подписки на обновления 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/ на выбор проводной, беспроводной или обмен через Интернет / нет онлайна / доступные операции: сбор штрихкодов, проверка QR-кодов / возможности: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1" s="4" t="str">
        <f ca="1">IFERROR(__xludf.DUMMYFUNCTION("""COMPUTED_VALUE"""),"Продление подписки на обновления 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 на 1 (один) год")</f>
        <v>Продление подписки на обновления Mobile SMARTS: Магазин 15 с ЕГАИС, БАЗОВЫЙ для «1С-Рарус: Управление санаторно-курортным комплексом 2», интеграция разработана правообладателем программного продукта «1С-Рарус»  на 1 (один) год</v>
      </c>
      <c r="F531" s="5">
        <f ca="1">IFERROR(__xludf.DUMMYFUNCTION("""COMPUTED_VALUE"""),1331.6)</f>
        <v>1331.6</v>
      </c>
    </row>
    <row r="532" spans="1:6" ht="72" customHeight="1" x14ac:dyDescent="0.2">
      <c r="A532" s="4"/>
      <c r="B532" s="4"/>
      <c r="C532" s="4" t="str">
        <f ca="1">IFERROR(__xludf.DUMMYFUNCTION("""COMPUTED_VALUE"""),"SSY1-")</f>
        <v>SSY1-</v>
      </c>
      <c r="D532" s="4" t="str">
        <f ca="1">IFERROR(__xludf.DUMMYFUNCTION("""COMPUTED_VALUE"""),"Продление подписки на обновления Лицензии для «1С:Предприятия» не стандартные (+2000р)")</f>
        <v>Продление подписки на обновления Лицензии для «1С:Предприятия» не стандартные (+2000р)</v>
      </c>
      <c r="E532" s="4" t="str">
        <f ca="1">IFERROR(__xludf.DUMMYFUNCTION("""COMPUTED_VALUE"""),"#VALUE!")</f>
        <v>#VALUE!</v>
      </c>
      <c r="F532" s="4" t="str">
        <f ca="1">IFERROR(__xludf.DUMMYFUNCTION("""COMPUTED_VALUE"""),"#N/A")</f>
        <v>#N/A</v>
      </c>
    </row>
    <row r="533" spans="1:6" ht="72" customHeight="1" x14ac:dyDescent="0.2">
      <c r="A533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3" s="4" t="str">
        <f ca="1">IFERROR(__xludf.DUMMYFUNCTION("""COMPUTED_VALUE"""),"МИНИМУМ")</f>
        <v>МИНИМУМ</v>
      </c>
      <c r="C533" s="4" t="str">
        <f ca="1">IFERROR(__xludf.DUMMYFUNCTION("""COMPUTED_VALUE"""),"SSY1-RTL15M-1C77")</f>
        <v>SSY1-RTL15M-1C77</v>
      </c>
      <c r="D533" s="4" t="str">
        <f ca="1">IFERROR(__xludf.DUMMYFUNCTION("""COMPUTED_VALUE"""),"Продление подписки на обновления 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беспроводной"&amp;"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опер"&amp;"ации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3" s="4" t="str">
        <f ca="1">IFERROR(__xludf.DUMMYFUNCTION("""COMPUTED_VALUE"""),"Продление подписки на обновления 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МИНИМУМ для конфигурации на базе «1С:Предприятия 7.7», для самостоятельной разработки и интеграции обмена с учетной системой, для работы с товаром по штрихкодам  на 1 (один) год</v>
      </c>
      <c r="F533" s="5">
        <f ca="1">IFERROR(__xludf.DUMMYFUNCTION("""COMPUTED_VALUE"""),1090)</f>
        <v>1090</v>
      </c>
    </row>
    <row r="534" spans="1:6" ht="72" customHeight="1" x14ac:dyDescent="0.2">
      <c r="A534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4" s="4" t="str">
        <f ca="1">IFERROR(__xludf.DUMMYFUNCTION("""COMPUTED_VALUE"""),"БАЗОВЫЙ")</f>
        <v>БАЗОВЫЙ</v>
      </c>
      <c r="C534" s="4" t="str">
        <f ca="1">IFERROR(__xludf.DUMMYFUNCTION("""COMPUTED_VALUE"""),"SSY1-RTL15A-1C77")</f>
        <v>SSY1-RTL15A-1C77</v>
      </c>
      <c r="D534" s="4" t="str">
        <f ca="1">IFERROR(__xludf.DUMMYFUNCTION("""COMPUTED_VALUE"""),"Продление подписки на обновления 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беспроводной"&amp;"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QR-ко"&amp;"дов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Продление подписки на обновления 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4" s="4" t="str">
        <f ca="1">IFERROR(__xludf.DUMMYFUNCTION("""COMPUTED_VALUE"""),"Продление подписки на обновления 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БАЗОВЫЙ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 на 1 (один) год</v>
      </c>
      <c r="F534" s="5">
        <f ca="1">IFERROR(__xludf.DUMMYFUNCTION("""COMPUTED_VALUE"""),2130)</f>
        <v>2130</v>
      </c>
    </row>
    <row r="535" spans="1:6" ht="72" customHeight="1" x14ac:dyDescent="0.2">
      <c r="A535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5" s="4" t="str">
        <f ca="1">IFERROR(__xludf.DUMMYFUNCTION("""COMPUTED_VALUE"""),"РАСШИРЕННЫЙ")</f>
        <v>РАСШИРЕННЫЙ</v>
      </c>
      <c r="C535" s="4" t="str">
        <f ca="1">IFERROR(__xludf.DUMMYFUNCTION("""COMPUTED_VALUE"""),"SSY1-RTL15B-1C77")</f>
        <v>SSY1-RTL15B-1C77</v>
      </c>
      <c r="D535" s="4" t="str">
        <f ca="1">IFERROR(__xludf.DUMMYFUNCTION("""COMPUTED_VALUE"""),"Продление подписки на обновления 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беспрово"&amp;"дной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5" s="4" t="str">
        <f ca="1">IFERROR(__xludf.DUMMYFUNCTION("""COMPUTED_VALUE"""),"Продление подписки на обновления 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РАСШИРЕННЫЙ для конфигурации на базе «1С:Предприятия 7.7», для самостоятельной разработки и интеграции обмена с учетной системой, для работы с товаром по штрихкодам  на 1 (один) год</v>
      </c>
      <c r="F535" s="5">
        <f ca="1">IFERROR(__xludf.DUMMYFUNCTION("""COMPUTED_VALUE"""),3410)</f>
        <v>3410</v>
      </c>
    </row>
    <row r="536" spans="1:6" ht="72" customHeight="1" x14ac:dyDescent="0.2">
      <c r="A536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6" s="4" t="str">
        <f ca="1">IFERROR(__xludf.DUMMYFUNCTION("""COMPUTED_VALUE"""),"МЕГАМАРКЕТ")</f>
        <v>МЕГАМАРКЕТ</v>
      </c>
      <c r="C536" s="4" t="str">
        <f ca="1">IFERROR(__xludf.DUMMYFUNCTION("""COMPUTED_VALUE"""),"SSY1-RTL15C-1C77")</f>
        <v>SSY1-RTL15C-1C77</v>
      </c>
      <c r="D536" s="4" t="str">
        <f ca="1">IFERROR(__xludf.DUMMYFUNCTION("""COMPUTED_VALUE"""),"Продление подписки на обновления 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беспровод"&amp;"ной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QR"&amp;"-кодов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Продление подписки на обновления 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6" s="4" t="str">
        <f ca="1">IFERROR(__xludf.DUMMYFUNCTION("""COMPUTED_VALUE"""),"Продление подписки на обновления 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МЕГАМАРКЕТ для конфигурации на базе «1С:Предприятия 7.7», для самостоятельной разработки и интеграции обмена с учетной системой, для работы с товаром по штрихкодам  на 1 (один) год</v>
      </c>
      <c r="F536" s="5">
        <f ca="1">IFERROR(__xludf.DUMMYFUNCTION("""COMPUTED_VALUE"""),4710)</f>
        <v>4710</v>
      </c>
    </row>
    <row r="537" spans="1:6" ht="72" customHeight="1" x14ac:dyDescent="0.2">
      <c r="A537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7" s="4" t="str">
        <f ca="1">IFERROR(__xludf.DUMMYFUNCTION("""COMPUTED_VALUE"""),"с ЕГАИС, БАЗОВЫЙ")</f>
        <v>с ЕГАИС, БАЗОВЫЙ</v>
      </c>
      <c r="C537" s="4" t="str">
        <f ca="1">IFERROR(__xludf.DUMMYFUNCTION("""COMPUTED_VALUE"""),"SSY1-RTL15AE-1C77")</f>
        <v>SSY1-RTL15AE-1C77</v>
      </c>
      <c r="D537" s="4" t="str">
        <f ca="1">IFERROR(__xludf.DUMMYFUNCTION("""COMPUTED_VALUE"""),"Продление подписки на обновления 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п"&amp;"о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инвентаризация"&amp;",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"&amp;"лицензия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37" s="4" t="str">
        <f ca="1">IFERROR(__xludf.DUMMYFUNCTION("""COMPUTED_VALUE"""),"Продление подписки на обновления 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п"&amp;"о штрихкодам  на 1 (один) год")</f>
        <v>Продление подписки на обновления Mobile SMARTS: Магазин 15 с ЕГАИС,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537" s="5">
        <f ca="1">IFERROR(__xludf.DUMMYFUNCTION("""COMPUTED_VALUE"""),2600)</f>
        <v>2600</v>
      </c>
    </row>
    <row r="538" spans="1:6" ht="72" customHeight="1" x14ac:dyDescent="0.2">
      <c r="A538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8" s="4" t="str">
        <f ca="1">IFERROR(__xludf.DUMMYFUNCTION("""COMPUTED_VALUE"""),"с ЕГАИС, РАСШИРЕННЫЙ")</f>
        <v>с ЕГАИС, РАСШИРЕННЫЙ</v>
      </c>
      <c r="C538" s="4" t="str">
        <f ca="1">IFERROR(__xludf.DUMMYFUNCTION("""COMPUTED_VALUE"""),"SSY1-RTL15BE-1C77")</f>
        <v>SSY1-RTL15BE-1C77</v>
      </c>
      <c r="D538" s="4" t="str">
        <f ca="1">IFERROR(__xludf.DUMMYFUNCTION("""COMPUTED_VALUE"""),"Продление подписки на обновления 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това"&amp;"ры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инвентариз"&amp;"ация,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8" s="4" t="str">
        <f ca="1">IFERROR(__xludf.DUMMYFUNCTION("""COMPUTED_VALUE"""),"Продление подписки на обновления 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това"&amp;"ры по штрихкодам  на 1 (один) год")</f>
        <v>Продление подписки на обновления Mobile SMARTS: Магазин 15 с ЕГАИС,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538" s="5">
        <f ca="1">IFERROR(__xludf.DUMMYFUNCTION("""COMPUTED_VALUE"""),3890)</f>
        <v>3890</v>
      </c>
    </row>
    <row r="539" spans="1:6" ht="72" customHeight="1" x14ac:dyDescent="0.2">
      <c r="A539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39" s="4" t="str">
        <f ca="1">IFERROR(__xludf.DUMMYFUNCTION("""COMPUTED_VALUE"""),"с ЕГАИС (без CheckMark2), МЕГАМАРКЕТ")</f>
        <v>с ЕГАИС (без CheckMark2), МЕГАМАРКЕТ</v>
      </c>
      <c r="C539" s="4" t="str">
        <f ca="1">IFERROR(__xludf.DUMMYFUNCTION("""COMPUTED_VALUE"""),"SSY1-RTL15CEV-1C77")</f>
        <v>SSY1-RTL15CEV-1C77</v>
      </c>
      <c r="D539" s="4" t="str">
        <f ca="1">IFERROR(__xludf.DUMMYFUNCTION("""COMPUTED_VALUE"""),"Продление подписки на обновления 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алког"&amp;"оль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переоц"&amp;"енка,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возм"&amp;"ожность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39" s="4" t="str">
        <f ca="1">IFERROR(__xludf.DUMMYFUNCTION("""COMPUTED_VALUE"""),"Продление подписки на обновления 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алког"&amp;"оль ЕГАИС и товары по штрихкодам  на 1 (один) год")</f>
        <v>Продление подписки на обновления Mobile SMARTS: Магазин 15 с ЕГАИС (без CheckMark2),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539" s="5">
        <f ca="1">IFERROR(__xludf.DUMMYFUNCTION("""COMPUTED_VALUE"""),5170)</f>
        <v>5170</v>
      </c>
    </row>
    <row r="540" spans="1:6" ht="72" customHeight="1" x14ac:dyDescent="0.2">
      <c r="A540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0" s="4" t="str">
        <f ca="1">IFERROR(__xludf.DUMMYFUNCTION("""COMPUTED_VALUE"""),"с МОТП, БАЗОВЫЙ")</f>
        <v>с МОТП, БАЗОВЫЙ</v>
      </c>
      <c r="C540" s="4" t="str">
        <f ca="1">IFERROR(__xludf.DUMMYFUNCTION("""COMPUTED_VALUE"""),"SSY1-RTL15AT-1C77")</f>
        <v>SSY1-RTL15AT-1C77</v>
      </c>
      <c r="D540" s="4" t="str">
        <f ca="1">IFERROR(__xludf.DUMMYFUNCTION("""COMPUTED_VALUE"""),"Продление подписки на обновления 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штрихкод"&amp;"ам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бессрочная"&amp;"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0" s="4" t="str">
        <f ca="1">IFERROR(__xludf.DUMMYFUNCTION("""COMPUTED_VALUE"""),"Продление подписки на обновления 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штрихкод"&amp;"ам  на 1 (один) год")</f>
        <v>Продление подписки на обновления Mobile SMARTS: Магазин 15 с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540" s="5">
        <f ca="1">IFERROR(__xludf.DUMMYFUNCTION("""COMPUTED_VALUE"""),2630)</f>
        <v>2630</v>
      </c>
    </row>
    <row r="541" spans="1:6" ht="72" customHeight="1" x14ac:dyDescent="0.2">
      <c r="A541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1" s="4" t="str">
        <f ca="1">IFERROR(__xludf.DUMMYFUNCTION("""COMPUTED_VALUE"""),"с МОТП, РАСШИРЕННЫЙ")</f>
        <v>с МОТП, РАСШИРЕННЫЙ</v>
      </c>
      <c r="C541" s="4" t="str">
        <f ca="1">IFERROR(__xludf.DUMMYFUNCTION("""COMPUTED_VALUE"""),"SSY1-RTL15BT-1C77")</f>
        <v>SSY1-RTL15BT-1C77</v>
      </c>
      <c r="D541" s="4" t="str">
        <f ca="1">IFERROR(__xludf.DUMMYFUNCTION("""COMPUTED_VALUE"""),"Продление подписки на обновления 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штри"&amp;"хкодам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1" s="4" t="str">
        <f ca="1">IFERROR(__xludf.DUMMYFUNCTION("""COMPUTED_VALUE"""),"Продление подписки на обновления 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штри"&amp;"хкодам  на 1 (один) год")</f>
        <v>Продление подписки на обновления Mobile SMARTS: Магазин 15 с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541" s="5">
        <f ca="1">IFERROR(__xludf.DUMMYFUNCTION("""COMPUTED_VALUE"""),3890)</f>
        <v>3890</v>
      </c>
    </row>
    <row r="542" spans="1:6" ht="72" customHeight="1" x14ac:dyDescent="0.2">
      <c r="A542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2" s="4" t="str">
        <f ca="1">IFERROR(__xludf.DUMMYFUNCTION("""COMPUTED_VALUE"""),"с МОТП, МЕГАМАРКЕТ")</f>
        <v>с МОТП, МЕГАМАРКЕТ</v>
      </c>
      <c r="C542" s="4" t="str">
        <f ca="1">IFERROR(__xludf.DUMMYFUNCTION("""COMPUTED_VALUE"""),"SSY1-RTL15CT-1C77")</f>
        <v>SSY1-RTL15CT-1C77</v>
      </c>
      <c r="D542" s="4" t="str">
        <f ca="1">IFERROR(__xludf.DUMMYFUNCTION("""COMPUTED_VALUE"""),"Продление подписки на обновления 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штрих"&amp;"кодам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по"&amp;"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св"&amp;"ои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2" s="4" t="str">
        <f ca="1">IFERROR(__xludf.DUMMYFUNCTION("""COMPUTED_VALUE"""),"Продление подписки на обновления 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штрих"&amp;"кодам  на 1 (один) год")</f>
        <v>Продление подписки на обновления Mobile SMARTS: Магазин 15 с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542" s="5">
        <f ca="1">IFERROR(__xludf.DUMMYFUNCTION("""COMPUTED_VALUE"""),5170)</f>
        <v>5170</v>
      </c>
    </row>
    <row r="543" spans="1:6" ht="72" customHeight="1" x14ac:dyDescent="0.2">
      <c r="A543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3" s="4" t="str">
        <f ca="1">IFERROR(__xludf.DUMMYFUNCTION("""COMPUTED_VALUE"""),"с ЕГАИС и МОТП, БАЗОВЫЙ")</f>
        <v>с ЕГАИС и МОТП, БАЗОВЫЙ</v>
      </c>
      <c r="C543" s="4" t="str">
        <f ca="1">IFERROR(__xludf.DUMMYFUNCTION("""COMPUTED_VALUE"""),"SSY1-RTL15AET-1C77")</f>
        <v>SSY1-RTL15AET-1C77</v>
      </c>
      <c r="D543" s="4" t="str">
        <f ca="1">IFERROR(__xludf.DUMMYFUNCTION("""COMPUTED_VALUE"""),"Продление подписки на обновления 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"&amp;"товары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"&amp;"с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Продление подписки на обновления 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3" s="4" t="str">
        <f ca="1">IFERROR(__xludf.DUMMYFUNCTION("""COMPUTED_VALUE"""),"Продление подписки на обновления 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"&amp;"товары по штрихкодам  на 1 (один) год")</f>
        <v>Продление подписки на обновления Mobile SMARTS: Магазин 15 с ЕГАИС и МОТП,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543" s="5">
        <f ca="1">IFERROR(__xludf.DUMMYFUNCTION("""COMPUTED_VALUE"""),2830)</f>
        <v>2830</v>
      </c>
    </row>
    <row r="544" spans="1:6" ht="72" customHeight="1" x14ac:dyDescent="0.2">
      <c r="A544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4" s="4" t="str">
        <f ca="1">IFERROR(__xludf.DUMMYFUNCTION("""COMPUTED_VALUE"""),"с ЕГАИС и МОТП, РАСШИРЕННЫЙ")</f>
        <v>с ЕГАИС и МОТП, РАСШИРЕННЫЙ</v>
      </c>
      <c r="C544" s="4" t="str">
        <f ca="1">IFERROR(__xludf.DUMMYFUNCTION("""COMPUTED_VALUE"""),"SSY1-RTL15BET-1C77")</f>
        <v>SSY1-RTL15BET-1C77</v>
      </c>
      <c r="D544" s="4" t="str">
        <f ca="1">IFERROR(__xludf.DUMMYFUNCTION("""COMPUTED_VALUE"""),"Продление подписки на обновления 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ТАБА"&amp;"К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т"&amp;".ч.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возмо"&amp;"жности: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(о"&amp;"дин) год")</f>
        <v>Продление подписки на обновления 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4" s="4" t="str">
        <f ca="1">IFERROR(__xludf.DUMMYFUNCTION("""COMPUTED_VALUE"""),"Продление подписки на обновления 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ТАБА"&amp;"К и товары по штрихкодам  на 1 (один) год")</f>
        <v>Продление подписки на обновления Mobile SMARTS: Магазин 15 с ЕГАИС и МОТП,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544" s="5">
        <f ca="1">IFERROR(__xludf.DUMMYFUNCTION("""COMPUTED_VALUE"""),4110)</f>
        <v>4110</v>
      </c>
    </row>
    <row r="545" spans="1:6" ht="72" customHeight="1" x14ac:dyDescent="0.2">
      <c r="A545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5" s="4" t="str">
        <f ca="1">IFERROR(__xludf.DUMMYFUNCTION("""COMPUTED_VALUE"""),"с ЕГАИС и МОТП, МЕГАМАРКЕТ")</f>
        <v>с ЕГАИС и МОТП, МЕГАМАРКЕТ</v>
      </c>
      <c r="C545" s="4" t="str">
        <f ca="1">IFERROR(__xludf.DUMMYFUNCTION("""COMPUTED_VALUE"""),"SSY1-RTL15CET-1C77")</f>
        <v>SSY1-RTL15CET-1C77</v>
      </c>
      <c r="D545" s="4" t="str">
        <f ca="1">IFERROR(__xludf.DUMMYFUNCTION("""COMPUTED_VALUE"""),"Продление подписки на обновления 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ТАБАК"&amp;"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возмож"&amp;"ности: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Продление подписки на обновления 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5" s="4" t="str">
        <f ca="1">IFERROR(__xludf.DUMMYFUNCTION("""COMPUTED_VALUE"""),"Продление подписки на обновления 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ТАБАК"&amp;" и товары по штрихкодам  на 1 (один) год")</f>
        <v>Продление подписки на обновления Mobile SMARTS: Магазин 15 с ЕГАИС и МОТП,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545" s="5">
        <f ca="1">IFERROR(__xludf.DUMMYFUNCTION("""COMPUTED_VALUE"""),5670)</f>
        <v>5670</v>
      </c>
    </row>
    <row r="546" spans="1:6" ht="72" customHeight="1" x14ac:dyDescent="0.2">
      <c r="A546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6" s="4" t="str">
        <f ca="1">IFERROR(__xludf.DUMMYFUNCTION("""COMPUTED_VALUE"""),"ШМОТКИ, БАЗОВЫЙ")</f>
        <v>ШМОТКИ, БАЗОВЫЙ</v>
      </c>
      <c r="C546" s="4" t="str">
        <f ca="1">IFERROR(__xludf.DUMMYFUNCTION("""COMPUTED_VALUE"""),"SSY1-RTL15AK-1C77")</f>
        <v>SSY1-RTL15AK-1C77</v>
      </c>
      <c r="D546" s="4" t="str">
        <f ca="1">IFERROR(__xludf.DUMMYFUNCTION("""COMPUTED_VALUE"""),"Продление подписки на обновления 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ШИН"&amp;"Ы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свои"&amp;"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6" s="4" t="str">
        <f ca="1">IFERROR(__xludf.DUMMYFUNCTION("""COMPUTED_VALUE"""),"Продление подписки на обновления 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ШИН"&amp;"Ы и товары по штрихкодам  на 1 (один) год")</f>
        <v>Продление подписки на обновления Mobile SMARTS: Магазин 15 ШМОТКИ, БАЗОВЫЙ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 на 1 (один) год</v>
      </c>
      <c r="F546" s="5">
        <f ca="1">IFERROR(__xludf.DUMMYFUNCTION("""COMPUTED_VALUE"""),2830)</f>
        <v>2830</v>
      </c>
    </row>
    <row r="547" spans="1:6" ht="72" customHeight="1" x14ac:dyDescent="0.2">
      <c r="A547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7" s="4" t="str">
        <f ca="1">IFERROR(__xludf.DUMMYFUNCTION("""COMPUTED_VALUE"""),"ШМОТКИ, РАСШИРЕННЫЙ")</f>
        <v>ШМОТКИ, РАСШИРЕННЫЙ</v>
      </c>
      <c r="C547" s="4" t="str">
        <f ca="1">IFERROR(__xludf.DUMMYFUNCTION("""COMPUTED_VALUE"""),"SSY1-RTL15BK-1C77")</f>
        <v>SSY1-RTL15BK-1C77</v>
      </c>
      <c r="D547" s="4" t="str">
        <f ca="1">IFERROR(__xludf.DUMMYFUNCTION("""COMPUTED_VALUE"""),"Продление подписки на обновления 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ПАРФЮМ,"&amp;"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"&amp;"свои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7" s="4" t="str">
        <f ca="1">IFERROR(__xludf.DUMMYFUNCTION("""COMPUTED_VALUE"""),"Продление подписки на обновления 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ПАРФЮМ,"&amp;" ШИНЫ и товары по штрихкодам  на 1 (один) год")</f>
        <v>Продление подписки на обновления Mobile SMARTS: Магазин 15 ШМОТКИ, РАСШИРЕННЫЙ для конфигурации на базе «1С:Предприятия 7.7»,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 на 1 (один) год</v>
      </c>
      <c r="F547" s="5">
        <f ca="1">IFERROR(__xludf.DUMMYFUNCTION("""COMPUTED_VALUE"""),4110)</f>
        <v>4110</v>
      </c>
    </row>
    <row r="548" spans="1:6" ht="72" customHeight="1" x14ac:dyDescent="0.2">
      <c r="A548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8" s="4" t="str">
        <f ca="1">IFERROR(__xludf.DUMMYFUNCTION("""COMPUTED_VALUE"""),"ШМОТКИ, МЕГАМАРКЕТ")</f>
        <v>ШМОТКИ, МЕГАМАРКЕТ</v>
      </c>
      <c r="C548" s="4" t="str">
        <f ca="1">IFERROR(__xludf.DUMMYFUNCTION("""COMPUTED_VALUE"""),"SSY1-RTL15CK-1C77")</f>
        <v>SSY1-RTL15CK-1C77</v>
      </c>
      <c r="D548" s="4" t="str">
        <f ca="1">IFERROR(__xludf.DUMMYFUNCTION("""COMPUTED_VALUE"""),"Продление подписки на обновления 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штр"&amp;"ихкодам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"&amp;"по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"&amp;"свои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48" s="4" t="str">
        <f ca="1">IFERROR(__xludf.DUMMYFUNCTION("""COMPUTED_VALUE"""),"Продление подписки на обновления 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штр"&amp;"ихкодам  на 1 (один) год")</f>
        <v>Продление подписки на обновления Mobile SMARTS: Магазин 15 ШМОТКИ, МЕГАМАРКЕТ для конфигурации на базе «1С:Предприятия 7.7», для самостоятельной разработки и интеграции обмена с учетной системой, для работы с маркированной ОБУВЬЮ, ОДЕЖДОЙ и товаром по штрихкодам  на 1 (один) год</v>
      </c>
      <c r="F548" s="5">
        <f ca="1">IFERROR(__xludf.DUMMYFUNCTION("""COMPUTED_VALUE"""),5670)</f>
        <v>5670</v>
      </c>
    </row>
    <row r="549" spans="1:6" ht="72" customHeight="1" x14ac:dyDescent="0.2">
      <c r="A549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49" s="4" t="str">
        <f ca="1">IFERROR(__xludf.DUMMYFUNCTION("""COMPUTED_VALUE"""),"с МДЛП, БАЗОВЫЙ")</f>
        <v>с МДЛП, БАЗОВЫЙ</v>
      </c>
      <c r="C549" s="4" t="str">
        <f ca="1">IFERROR(__xludf.DUMMYFUNCTION("""COMPUTED_VALUE"""),"SSY1-RTL15AL-1C77")</f>
        <v>SSY1-RTL15AL-1C77</v>
      </c>
      <c r="D549" s="4" t="str">
        <f ca="1">IFERROR(__xludf.DUMMYFUNCTION("""COMPUTED_VALUE"""),"Продление подписки на обновления Mobile SMARTS: Магазин 15 с МДЛП,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товаром"&amp;"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п"&amp;"еремещение,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1"&amp;" (один) год")</f>
        <v>Продление подписки на обновления Mobile SMARTS: Магазин 15 с МДЛП,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49" s="4" t="str">
        <f ca="1">IFERROR(__xludf.DUMMYFUNCTION("""COMPUTED_VALUE"""),"Продление подписки на обновления Mobile SMARTS: Магазин 15 с МДЛП, БАЗОВЫЙ для конфигурации на базе «1С:Предприятия 7.7»  на 1 (один) год")</f>
        <v>Продление подписки на обновления Mobile SMARTS: Магазин 15 с МДЛП, БАЗОВЫЙ для конфигурации на базе «1С:Предприятия 7.7»  на 1 (один) год</v>
      </c>
      <c r="F549" s="5">
        <f ca="1">IFERROR(__xludf.DUMMYFUNCTION("""COMPUTED_VALUE"""),2091.6)</f>
        <v>2091.6</v>
      </c>
    </row>
    <row r="550" spans="1:6" ht="72" customHeight="1" x14ac:dyDescent="0.2">
      <c r="A550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0" s="4" t="str">
        <f ca="1">IFERROR(__xludf.DUMMYFUNCTION("""COMPUTED_VALUE"""),"с МДЛП, РАСШИРЕННЫЙ")</f>
        <v>с МДЛП, РАСШИРЕННЫЙ</v>
      </c>
      <c r="C550" s="4" t="str">
        <f ca="1">IFERROR(__xludf.DUMMYFUNCTION("""COMPUTED_VALUE"""),"SSY1-RTL15BL-1C77")</f>
        <v>SSY1-RTL15BL-1C77</v>
      </c>
      <c r="D550" s="4" t="str">
        <f ca="1">IFERROR(__xludf.DUMMYFUNCTION("""COMPUTED_VALUE"""),"Продление подписки на обновления Mobile SMARTS: Магазин 15 с МДЛП,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тов"&amp;"аром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"&amp;"на 1 (один) год")</f>
        <v>Продление подписки на обновления Mobile SMARTS: Магазин 15 с МДЛП,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50" s="4" t="str">
        <f ca="1">IFERROR(__xludf.DUMMYFUNCTION("""COMPUTED_VALUE"""),"Продление подписки на обновления Mobile SMARTS: Магазин 15 с МДЛП, РАСШИРЕННЫЙ для конфигурации на базе «1С:Предприятия 7.7»  на 1 (один) год")</f>
        <v>Продление подписки на обновления Mobile SMARTS: Магазин 15 с МДЛП, РАСШИРЕННЫЙ для конфигурации на базе «1С:Предприятия 7.7»  на 1 (один) год</v>
      </c>
      <c r="F550" s="5">
        <f ca="1">IFERROR(__xludf.DUMMYFUNCTION("""COMPUTED_VALUE"""),3075.6)</f>
        <v>3075.6</v>
      </c>
    </row>
    <row r="551" spans="1:6" ht="72" customHeight="1" x14ac:dyDescent="0.2">
      <c r="A551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1" s="4" t="str">
        <f ca="1">IFERROR(__xludf.DUMMYFUNCTION("""COMPUTED_VALUE"""),"с МДЛП, МЕГАМАРКЕТ")</f>
        <v>с МДЛП, МЕГАМАРКЕТ</v>
      </c>
      <c r="C551" s="4" t="str">
        <f ca="1">IFERROR(__xludf.DUMMYFUNCTION("""COMPUTED_VALUE"""),"SSY1-RTL15CL-1C77")</f>
        <v>SSY1-RTL15CL-1C77</v>
      </c>
      <c r="D551" s="4" t="str">
        <f ca="1">IFERROR(__xludf.DUMMYFUNCTION("""COMPUTED_VALUE"""),"Продление подписки на обновления Mobile SMARTS: Магазин 15 с МДЛП,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това"&amp;"ром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КМ)"&amp;",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(од"&amp;"но) моб. устройство на 1 (один) год")</f>
        <v>Продление подписки на обновления Mobile SMARTS: Магазин 15 с МДЛП,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51" s="4" t="str">
        <f ca="1">IFERROR(__xludf.DUMMYFUNCTION("""COMPUTED_VALUE"""),"Продление подписки на обновления Mobile SMARTS: Магазин 15 с МДЛП, МЕГАМАРКЕТ для конфигурации на базе «1С:Предприятия 7.7»  на 1 (один) год")</f>
        <v>Продление подписки на обновления Mobile SMARTS: Магазин 15 с МДЛП, МЕГАМАРКЕТ для конфигурации на базе «1С:Предприятия 7.7»  на 1 (один) год</v>
      </c>
      <c r="F551" s="5">
        <f ca="1">IFERROR(__xludf.DUMMYFUNCTION("""COMPUTED_VALUE"""),4539.6)</f>
        <v>4539.6000000000004</v>
      </c>
    </row>
    <row r="552" spans="1:6" ht="72" customHeight="1" x14ac:dyDescent="0.2">
      <c r="A552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2" s="4" t="str">
        <f ca="1">IFERROR(__xludf.DUMMYFUNCTION("""COMPUTED_VALUE"""),"ПРОДУКТОВЫЙ, БАЗОВЫЙ")</f>
        <v>ПРОДУКТОВЫЙ, БАЗОВЫЙ</v>
      </c>
      <c r="C552" s="4" t="str">
        <f ca="1">IFERROR(__xludf.DUMMYFUNCTION("""COMPUTED_VALUE"""),"SSY1-RTL15AG-1C77")</f>
        <v>SSY1-RTL15AG-1C77</v>
      </c>
      <c r="D552" s="4" t="str">
        <f ca="1">IFERROR(__xludf.DUMMYFUNCTION("""COMPUTED_VALUE"""),"Продление подписки на обновления Mobile SMARTS: Магазин 15 ПРОДУКТОВЫЙ,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ТАБА"&amp;"К,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инв"&amp;"ентаризация,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настройк"&amp;"и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52" s="4" t="str">
        <f ca="1">IFERROR(__xludf.DUMMYFUNCTION("""COMPUTED_VALUE"""),"Продление подписки на обновления Mobile SMARTS: Магазин 15 ПРОДУКТОВЫЙ, БАЗОВЫЙ для конфигурации на базе «1С:Предприятия 7.7»  на 1 (один) год")</f>
        <v>Продление подписки на обновления Mobile SMARTS: Магазин 15 ПРОДУКТОВЫЙ, БАЗОВЫЙ для конфигурации на базе «1С:Предприятия 7.7»  на 1 (один) год</v>
      </c>
      <c r="F552" s="5">
        <f ca="1">IFERROR(__xludf.DUMMYFUNCTION("""COMPUTED_VALUE"""),2631.6)</f>
        <v>2631.6</v>
      </c>
    </row>
    <row r="553" spans="1:6" ht="72" customHeight="1" x14ac:dyDescent="0.2">
      <c r="A553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3" s="4" t="str">
        <f ca="1">IFERROR(__xludf.DUMMYFUNCTION("""COMPUTED_VALUE"""),"ПРОДУКТОВЫЙ, РАСШИРЕННЫЙ")</f>
        <v>ПРОДУКТОВЫЙ, РАСШИРЕННЫЙ</v>
      </c>
      <c r="C553" s="4" t="str">
        <f ca="1">IFERROR(__xludf.DUMMYFUNCTION("""COMPUTED_VALUE"""),"SSY1-RTL15BG-1C77")</f>
        <v>SSY1-RTL15BG-1C77</v>
      </c>
      <c r="D553" s="4" t="str">
        <f ca="1">IFERROR(__xludf.DUMMYFUNCTION("""COMPUTED_VALUE"""),"Продление подписки на обновления Mobile SMARTS: Магазин 15 ПРОДУКТОВЫЙ,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"&amp;"ТАБАК,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КМ),"&amp;"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наст"&amp;"ройки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53" s="4" t="str">
        <f ca="1">IFERROR(__xludf.DUMMYFUNCTION("""COMPUTED_VALUE"""),"Продление подписки на обновления Mobile SMARTS: Магазин 15 ПРОДУКТОВЫЙ, РАСШИРЕННЫЙ для конфигурации на базе «1С:Предприятия 7.7»  на 1 (один) год")</f>
        <v>Продление подписки на обновления Mobile SMARTS: Магазин 15 ПРОДУКТОВЫЙ, РАСШИРЕННЫЙ для конфигурации на базе «1С:Предприятия 7.7»  на 1 (один) год</v>
      </c>
      <c r="F553" s="5">
        <f ca="1">IFERROR(__xludf.DUMMYFUNCTION("""COMPUTED_VALUE"""),3615.6)</f>
        <v>3615.6</v>
      </c>
    </row>
    <row r="554" spans="1:6" ht="72" customHeight="1" x14ac:dyDescent="0.2">
      <c r="A554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4" s="4" t="str">
        <f ca="1">IFERROR(__xludf.DUMMYFUNCTION("""COMPUTED_VALUE"""),"ПРОДУКТОВЫЙ, МЕГАМАРКЕТ")</f>
        <v>ПРОДУКТОВЫЙ, МЕГАМАРКЕТ</v>
      </c>
      <c r="C554" s="4" t="str">
        <f ca="1">IFERROR(__xludf.DUMMYFUNCTION("""COMPUTED_VALUE"""),"SSY1-RTL15CG-1C77")</f>
        <v>SSY1-RTL15CG-1C77</v>
      </c>
      <c r="D554" s="4" t="str">
        <f ca="1">IFERROR(__xludf.DUMMYFUNCTION("""COMPUTED_VALUE"""),"Продление подписки на обновления Mobile SMARTS: Магазин 15 ПРОДУКТОВЫЙ,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Т"&amp;"АБАК,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"&amp;"инвентаризация,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настр"&amp;"ойки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54" s="4" t="str">
        <f ca="1">IFERROR(__xludf.DUMMYFUNCTION("""COMPUTED_VALUE"""),"Продление подписки на обновления Mobile SMARTS: Магазин 15 ПРОДУКТОВЫЙ, МЕГАМАРКЕТ для конфигурации на базе «1С:Предприятия 7.7»  на 1 (один) год")</f>
        <v>Продление подписки на обновления Mobile SMARTS: Магазин 15 ПРОДУКТОВЫЙ, МЕГАМАРКЕТ для конфигурации на базе «1С:Предприятия 7.7»  на 1 (один) год</v>
      </c>
      <c r="F554" s="5">
        <f ca="1">IFERROR(__xludf.DUMMYFUNCTION("""COMPUTED_VALUE"""),6033.8)</f>
        <v>6033.8</v>
      </c>
    </row>
    <row r="555" spans="1:6" ht="72" customHeight="1" x14ac:dyDescent="0.2">
      <c r="A555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5" s="4" t="str">
        <f ca="1">IFERROR(__xludf.DUMMYFUNCTION("""COMPUTED_VALUE"""),"ПРОДУКТОВЫЙ без ЕГАИС, БАЗОВЫЙ")</f>
        <v>ПРОДУКТОВЫЙ без ЕГАИС, БАЗОВЫЙ</v>
      </c>
      <c r="C555" s="4" t="str">
        <f ca="1">IFERROR(__xludf.DUMMYFUNCTION("""COMPUTED_VALUE"""),"SSY1-RTL15AGNE-1C77")</f>
        <v>SSY1-RTL15AGNE-1C77</v>
      </c>
      <c r="D555" s="4" t="str">
        <f ca="1">IFERROR(__xludf.DUMMYFUNCTION("""COMPUTED_VALUE"""),"Продление подписки на обновления Mobile SMARTS: Магазин 15 ПРОДУКТОВЫЙ без ЕГАИС,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ТАБА"&amp;"К, МОЛОКО, ВОДА, ОДЕЖДА, ОБУВЬ, ДУХИ, ШИНЫ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списани"&amp;"е,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"&amp;"ценах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ПРОДУКТОВЫЙ без ЕГАИС, БАЗОВЫЙ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ДУХИ, ШИНЫ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55" s="4" t="str">
        <f ca="1">IFERROR(__xludf.DUMMYFUNCTION("""COMPUTED_VALUE"""),"Продление подписки на обновления Mobile SMARTS: Магазин 15 ПРОДУКТОВЫЙ без ЕГАИС, БАЗОВЫЙ для конфигурации на базе «1С:Предприятия 7.7»  на 1 (один) год")</f>
        <v>Продление подписки на обновления Mobile SMARTS: Магазин 15 ПРОДУКТОВЫЙ без ЕГАИС, БАЗОВЫЙ для конфигурации на базе «1С:Предприятия 7.7»  на 1 (один) год</v>
      </c>
      <c r="F555" s="5">
        <f ca="1">IFERROR(__xludf.DUMMYFUNCTION("""COMPUTED_VALUE"""),2271.6)</f>
        <v>2271.6</v>
      </c>
    </row>
    <row r="556" spans="1:6" ht="72" customHeight="1" x14ac:dyDescent="0.2">
      <c r="A556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6" s="4" t="str">
        <f ca="1">IFERROR(__xludf.DUMMYFUNCTION("""COMPUTED_VALUE"""),"ПРОДУКТОВЫЙ без ЕГАИС, РАСШИРЕННЫЙ")</f>
        <v>ПРОДУКТОВЫЙ без ЕГАИС, РАСШИРЕННЫЙ</v>
      </c>
      <c r="C556" s="4" t="str">
        <f ca="1">IFERROR(__xludf.DUMMYFUNCTION("""COMPUTED_VALUE"""),"SSY1-RTL15BGNE-1C77")</f>
        <v>SSY1-RTL15BGNE-1C77</v>
      </c>
      <c r="D556" s="4" t="str">
        <f ca="1">IFERROR(__xludf.DUMMYFUNCTION("""COMPUTED_VALUE"""),"Продление подписки на обновления Mobile SMARTS: Магазин 15 ПРОДУКТОВЫЙ без ЕГАИС,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"&amp;"ТАБАК, МОЛОКО, ВОДА, ОДЕЖДА,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спи"&amp;"сание,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остатка"&amp;"х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ПРОДУКТОВЫЙ без ЕГАИС, РАСШИРЕННЫЙ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56" s="4" t="str">
        <f ca="1">IFERROR(__xludf.DUMMYFUNCTION("""COMPUTED_VALUE"""),"Продление подписки на обновления Mobile SMARTS: Магазин 15 ПРОДУКТОВЫЙ без ЕГАИС, РАСШИРЕННЫЙ для конфигурации на базе «1С:Предприятия 7.7»  на 1 (один) год")</f>
        <v>Продление подписки на обновления Mobile SMARTS: Магазин 15 ПРОДУКТОВЫЙ без ЕГАИС, РАСШИРЕННЫЙ для конфигурации на базе «1С:Предприятия 7.7»  на 1 (один) год</v>
      </c>
      <c r="F556" s="4" t="str">
        <f ca="1">IFERROR(__xludf.DUMMYFUNCTION("""COMPUTED_VALUE"""),"#N/A")</f>
        <v>#N/A</v>
      </c>
    </row>
    <row r="557" spans="1:6" ht="72" customHeight="1" x14ac:dyDescent="0.2">
      <c r="A557" s="4" t="str">
        <f ca="1">IFERROR(__xludf.DUMMYFUNCTION("""COMPUTED_VALUE"""),"конфигурации на базе «1С:Предприятия 7.7»")</f>
        <v>конфигурации на базе «1С:Предприятия 7.7»</v>
      </c>
      <c r="B557" s="4" t="str">
        <f ca="1">IFERROR(__xludf.DUMMYFUNCTION("""COMPUTED_VALUE"""),"ПРОДУКТОВЫЙ без ЕГАИС, МЕГАМАРКЕТ")</f>
        <v>ПРОДУКТОВЫЙ без ЕГАИС, МЕГАМАРКЕТ</v>
      </c>
      <c r="C557" s="4" t="str">
        <f ca="1">IFERROR(__xludf.DUMMYFUNCTION("""COMPUTED_VALUE"""),"SSY1-RTL15CGNE-1C77")</f>
        <v>SSY1-RTL15CGNE-1C77</v>
      </c>
      <c r="D557" s="4" t="str">
        <f ca="1">IFERROR(__xludf.DUMMYFUNCTION("""COMPUTED_VALUE"""),"Продление подписки на обновления Mobile SMARTS: Магазин 15 ПРОДУКТОВЫЙ без ЕГАИС,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Т"&amp;"АБАК, МОЛОКО, ВОДА, ОДЕЖДА,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спис"&amp;"ание,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к"&amp;"онтрагентах,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ПРОДУКТОВЫЙ без ЕГАИС, МЕГАМАРКЕТ для конфигурации на базе «1С:Предприятия 7.7» / для самостоятельной разработки и интеграции обмена с учетной системой, для работы с маркированным товаром: ПИВО, ТАБАК, МОЛОКО, ВОДА, ОДЕЖДА, ОБУВЬ, ДУХИ, ШИНЫ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57" s="4" t="str">
        <f ca="1">IFERROR(__xludf.DUMMYFUNCTION("""COMPUTED_VALUE"""),"Продление подписки на обновления Mobile SMARTS: Магазин 15 ПРОДУКТОВЫЙ без ЕГАИС, МЕГАМАРКЕТ для конфигурации на базе «1С:Предприятия 7.7»  на 1 (один) год")</f>
        <v>Продление подписки на обновления Mobile SMARTS: Магазин 15 ПРОДУКТОВЫЙ без ЕГАИС, МЕГАМАРКЕТ для конфигурации на базе «1С:Предприятия 7.7»  на 1 (один) год</v>
      </c>
      <c r="F557" s="4" t="str">
        <f ca="1">IFERROR(__xludf.DUMMYFUNCTION("""COMPUTED_VALUE"""),"#N/A")</f>
        <v>#N/A</v>
      </c>
    </row>
    <row r="558" spans="1:6" ht="72" customHeight="1" x14ac:dyDescent="0.2">
      <c r="A558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58" s="4" t="str">
        <f ca="1">IFERROR(__xludf.DUMMYFUNCTION("""COMPUTED_VALUE"""),"МИНИМУМ")</f>
        <v>МИНИМУМ</v>
      </c>
      <c r="C558" s="4" t="str">
        <f ca="1">IFERROR(__xludf.DUMMYFUNCTION("""COMPUTED_VALUE"""),"SSY1-RTL15M-1C81")</f>
        <v>SSY1-RTL15M-1C81</v>
      </c>
      <c r="D558" s="4" t="str">
        <f ca="1">IFERROR(__xludf.DUMMYFUNCTION("""COMPUTED_VALUE"""),"Продление подписки на обновления 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беспроводной"&amp;"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опер"&amp;"ации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58" s="4" t="str">
        <f ca="1">IFERROR(__xludf.DUMMYFUNCTION("""COMPUTED_VALUE"""),"Продление подписки на обновления 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МИНИМУМ для конфигурации на базе «1С:Предприятия 8.1», для самостоятельной разработки и интеграции обмена с учетной системой, для работы с товаром по штрихкодам  на 1 (один) год</v>
      </c>
      <c r="F558" s="5">
        <f ca="1">IFERROR(__xludf.DUMMYFUNCTION("""COMPUTED_VALUE"""),1090)</f>
        <v>1090</v>
      </c>
    </row>
    <row r="559" spans="1:6" ht="72" customHeight="1" x14ac:dyDescent="0.2">
      <c r="A559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59" s="4" t="str">
        <f ca="1">IFERROR(__xludf.DUMMYFUNCTION("""COMPUTED_VALUE"""),"БАЗОВЫЙ")</f>
        <v>БАЗОВЫЙ</v>
      </c>
      <c r="C559" s="4" t="str">
        <f ca="1">IFERROR(__xludf.DUMMYFUNCTION("""COMPUTED_VALUE"""),"SSY1-RTL15A-1C81")</f>
        <v>SSY1-RTL15A-1C81</v>
      </c>
      <c r="D559" s="4" t="str">
        <f ca="1">IFERROR(__xludf.DUMMYFUNCTION("""COMPUTED_VALUE"""),"Продление подписки на обновления 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беспроводной"&amp;"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QR-ко"&amp;"дов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Продление подписки на обновления 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59" s="4" t="str">
        <f ca="1">IFERROR(__xludf.DUMMYFUNCTION("""COMPUTED_VALUE"""),"Продление подписки на обновления 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БАЗОВЫЙ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 на 1 (один) год</v>
      </c>
      <c r="F559" s="5">
        <f ca="1">IFERROR(__xludf.DUMMYFUNCTION("""COMPUTED_VALUE"""),2130)</f>
        <v>2130</v>
      </c>
    </row>
    <row r="560" spans="1:6" ht="72" customHeight="1" x14ac:dyDescent="0.2">
      <c r="A560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0" s="4" t="str">
        <f ca="1">IFERROR(__xludf.DUMMYFUNCTION("""COMPUTED_VALUE"""),"РАСШИРЕННЫЙ")</f>
        <v>РАСШИРЕННЫЙ</v>
      </c>
      <c r="C560" s="4" t="str">
        <f ca="1">IFERROR(__xludf.DUMMYFUNCTION("""COMPUTED_VALUE"""),"SSY1-RTL15B-1C81")</f>
        <v>SSY1-RTL15B-1C81</v>
      </c>
      <c r="D560" s="4" t="str">
        <f ca="1">IFERROR(__xludf.DUMMYFUNCTION("""COMPUTED_VALUE"""),"Продление подписки на обновления 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беспрово"&amp;"дной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0" s="4" t="str">
        <f ca="1">IFERROR(__xludf.DUMMYFUNCTION("""COMPUTED_VALUE"""),"Продление подписки на обновления 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РАСШИРЕННЫЙ для конфигурации на базе «1С:Предприятия 8.1», для самостоятельной разработки и интеграции обмена с учетной системой, для работы с товаром по штрихкодам  на 1 (один) год</v>
      </c>
      <c r="F560" s="5">
        <f ca="1">IFERROR(__xludf.DUMMYFUNCTION("""COMPUTED_VALUE"""),3410)</f>
        <v>3410</v>
      </c>
    </row>
    <row r="561" spans="1:6" ht="72" customHeight="1" x14ac:dyDescent="0.2">
      <c r="A561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1" s="4" t="str">
        <f ca="1">IFERROR(__xludf.DUMMYFUNCTION("""COMPUTED_VALUE"""),"МЕГАМАРКЕТ")</f>
        <v>МЕГАМАРКЕТ</v>
      </c>
      <c r="C561" s="4" t="str">
        <f ca="1">IFERROR(__xludf.DUMMYFUNCTION("""COMPUTED_VALUE"""),"SSY1-RTL15C-1C81")</f>
        <v>SSY1-RTL15C-1C81</v>
      </c>
      <c r="D561" s="4" t="str">
        <f ca="1">IFERROR(__xludf.DUMMYFUNCTION("""COMPUTED_VALUE"""),"Продление подписки на обновления 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беспровод"&amp;"ной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QR"&amp;"-кодов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Продление подписки на обновления 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1" s="4" t="str">
        <f ca="1">IFERROR(__xludf.DUMMYFUNCTION("""COMPUTED_VALUE"""),"Продление подписки на обновления 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МЕГАМАРКЕТ для конфигурации на базе «1С:Предприятия 8.1», для самостоятельной разработки и интеграции обмена с учетной системой, для работы с товаром по штрихкодам  на 1 (один) год</v>
      </c>
      <c r="F561" s="5">
        <f ca="1">IFERROR(__xludf.DUMMYFUNCTION("""COMPUTED_VALUE"""),4710)</f>
        <v>4710</v>
      </c>
    </row>
    <row r="562" spans="1:6" ht="72" customHeight="1" x14ac:dyDescent="0.2">
      <c r="A562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2" s="4" t="str">
        <f ca="1">IFERROR(__xludf.DUMMYFUNCTION("""COMPUTED_VALUE"""),"с ЕГАИС, БАЗОВЫЙ")</f>
        <v>с ЕГАИС, БАЗОВЫЙ</v>
      </c>
      <c r="C562" s="4" t="str">
        <f ca="1">IFERROR(__xludf.DUMMYFUNCTION("""COMPUTED_VALUE"""),"SSY1-RTL15AE-1C81")</f>
        <v>SSY1-RTL15AE-1C81</v>
      </c>
      <c r="D562" s="4" t="str">
        <f ca="1">IFERROR(__xludf.DUMMYFUNCTION("""COMPUTED_VALUE"""),"Продление подписки на обновления 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п"&amp;"о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инвентаризация"&amp;",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"&amp;"лицензия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62" s="4" t="str">
        <f ca="1">IFERROR(__xludf.DUMMYFUNCTION("""COMPUTED_VALUE"""),"Продление подписки на обновления 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п"&amp;"о штрихкодам  на 1 (один) год")</f>
        <v>Продление подписки на обновления Mobile SMARTS: Магазин 15 с ЕГАИС,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562" s="5">
        <f ca="1">IFERROR(__xludf.DUMMYFUNCTION("""COMPUTED_VALUE"""),2600)</f>
        <v>2600</v>
      </c>
    </row>
    <row r="563" spans="1:6" ht="72" customHeight="1" x14ac:dyDescent="0.2">
      <c r="A563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3" s="4" t="str">
        <f ca="1">IFERROR(__xludf.DUMMYFUNCTION("""COMPUTED_VALUE"""),"с ЕГАИС, РАСШИРЕННЫЙ")</f>
        <v>с ЕГАИС, РАСШИРЕННЫЙ</v>
      </c>
      <c r="C563" s="4" t="str">
        <f ca="1">IFERROR(__xludf.DUMMYFUNCTION("""COMPUTED_VALUE"""),"SSY1-RTL15BE-1C81")</f>
        <v>SSY1-RTL15BE-1C81</v>
      </c>
      <c r="D563" s="4" t="str">
        <f ca="1">IFERROR(__xludf.DUMMYFUNCTION("""COMPUTED_VALUE"""),"Продление подписки на обновления 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това"&amp;"ры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инвентариз"&amp;"ация,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3" s="4" t="str">
        <f ca="1">IFERROR(__xludf.DUMMYFUNCTION("""COMPUTED_VALUE"""),"Продление подписки на обновления 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това"&amp;"ры по штрихкодам  на 1 (один) год")</f>
        <v>Продление подписки на обновления Mobile SMARTS: Магазин 15 с ЕГАИС,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563" s="5">
        <f ca="1">IFERROR(__xludf.DUMMYFUNCTION("""COMPUTED_VALUE"""),3890)</f>
        <v>3890</v>
      </c>
    </row>
    <row r="564" spans="1:6" ht="72" customHeight="1" x14ac:dyDescent="0.2">
      <c r="A564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4" s="4" t="str">
        <f ca="1">IFERROR(__xludf.DUMMYFUNCTION("""COMPUTED_VALUE"""),"с ЕГАИС (без CheckMark2), МЕГАМАРКЕТ")</f>
        <v>с ЕГАИС (без CheckMark2), МЕГАМАРКЕТ</v>
      </c>
      <c r="C564" s="4" t="str">
        <f ca="1">IFERROR(__xludf.DUMMYFUNCTION("""COMPUTED_VALUE"""),"SSY1-RTL15CEV-1C81")</f>
        <v>SSY1-RTL15CEV-1C81</v>
      </c>
      <c r="D564" s="4" t="str">
        <f ca="1">IFERROR(__xludf.DUMMYFUNCTION("""COMPUTED_VALUE"""),"Продление подписки на обновления 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алког"&amp;"оль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переоц"&amp;"енка,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возм"&amp;"ожность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4" s="4" t="str">
        <f ca="1">IFERROR(__xludf.DUMMYFUNCTION("""COMPUTED_VALUE"""),"Продление подписки на обновления 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алког"&amp;"оль ЕГАИС и товары по штрихкодам  на 1 (один) год")</f>
        <v>Продление подписки на обновления Mobile SMARTS: Магазин 15 с ЕГАИС (без CheckMark2),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564" s="5">
        <f ca="1">IFERROR(__xludf.DUMMYFUNCTION("""COMPUTED_VALUE"""),5170)</f>
        <v>5170</v>
      </c>
    </row>
    <row r="565" spans="1:6" ht="72" customHeight="1" x14ac:dyDescent="0.2">
      <c r="A565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5" s="4" t="str">
        <f ca="1">IFERROR(__xludf.DUMMYFUNCTION("""COMPUTED_VALUE"""),"с МОТП, БАЗОВЫЙ")</f>
        <v>с МОТП, БАЗОВЫЙ</v>
      </c>
      <c r="C565" s="4" t="str">
        <f ca="1">IFERROR(__xludf.DUMMYFUNCTION("""COMPUTED_VALUE"""),"SSY1-RTL15AT-1C81")</f>
        <v>SSY1-RTL15AT-1C81</v>
      </c>
      <c r="D565" s="4" t="str">
        <f ca="1">IFERROR(__xludf.DUMMYFUNCTION("""COMPUTED_VALUE"""),"Продление подписки на обновления 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штрихкод"&amp;"ам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бессрочная"&amp;"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5" s="4" t="str">
        <f ca="1">IFERROR(__xludf.DUMMYFUNCTION("""COMPUTED_VALUE"""),"Продление подписки на обновления 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штрихкод"&amp;"ам  на 1 (один) год")</f>
        <v>Продление подписки на обновления Mobile SMARTS: Магазин 15 с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565" s="5">
        <f ca="1">IFERROR(__xludf.DUMMYFUNCTION("""COMPUTED_VALUE"""),2630)</f>
        <v>2630</v>
      </c>
    </row>
    <row r="566" spans="1:6" ht="72" customHeight="1" x14ac:dyDescent="0.2">
      <c r="A566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6" s="4" t="str">
        <f ca="1">IFERROR(__xludf.DUMMYFUNCTION("""COMPUTED_VALUE"""),"с МОТП, РАСШИРЕННЫЙ")</f>
        <v>с МОТП, РАСШИРЕННЫЙ</v>
      </c>
      <c r="C566" s="4" t="str">
        <f ca="1">IFERROR(__xludf.DUMMYFUNCTION("""COMPUTED_VALUE"""),"SSY1-RTL15BT-1C81")</f>
        <v>SSY1-RTL15BT-1C81</v>
      </c>
      <c r="D566" s="4" t="str">
        <f ca="1">IFERROR(__xludf.DUMMYFUNCTION("""COMPUTED_VALUE"""),"Продление подписки на обновления 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штри"&amp;"хкодам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6" s="4" t="str">
        <f ca="1">IFERROR(__xludf.DUMMYFUNCTION("""COMPUTED_VALUE"""),"Продление подписки на обновления 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штри"&amp;"хкодам  на 1 (один) год")</f>
        <v>Продление подписки на обновления Mobile SMARTS: Магазин 15 с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566" s="5">
        <f ca="1">IFERROR(__xludf.DUMMYFUNCTION("""COMPUTED_VALUE"""),3890)</f>
        <v>3890</v>
      </c>
    </row>
    <row r="567" spans="1:6" ht="72" customHeight="1" x14ac:dyDescent="0.2">
      <c r="A567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7" s="4" t="str">
        <f ca="1">IFERROR(__xludf.DUMMYFUNCTION("""COMPUTED_VALUE"""),"с МОТП, МЕГАМАРКЕТ")</f>
        <v>с МОТП, МЕГАМАРКЕТ</v>
      </c>
      <c r="C567" s="4" t="str">
        <f ca="1">IFERROR(__xludf.DUMMYFUNCTION("""COMPUTED_VALUE"""),"SSY1-RTL15CT-1C81")</f>
        <v>SSY1-RTL15CT-1C81</v>
      </c>
      <c r="D567" s="4" t="str">
        <f ca="1">IFERROR(__xludf.DUMMYFUNCTION("""COMPUTED_VALUE"""),"Продление подписки на обновления 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штрих"&amp;"кодам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по"&amp;"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св"&amp;"ои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7" s="4" t="str">
        <f ca="1">IFERROR(__xludf.DUMMYFUNCTION("""COMPUTED_VALUE"""),"Продление подписки на обновления 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штрих"&amp;"кодам  на 1 (один) год")</f>
        <v>Продление подписки на обновления Mobile SMARTS: Магазин 15 с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567" s="5">
        <f ca="1">IFERROR(__xludf.DUMMYFUNCTION("""COMPUTED_VALUE"""),5170)</f>
        <v>5170</v>
      </c>
    </row>
    <row r="568" spans="1:6" ht="72" customHeight="1" x14ac:dyDescent="0.2">
      <c r="A568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8" s="4" t="str">
        <f ca="1">IFERROR(__xludf.DUMMYFUNCTION("""COMPUTED_VALUE"""),"с ЕГАИС и МОТП, БАЗОВЫЙ")</f>
        <v>с ЕГАИС и МОТП, БАЗОВЫЙ</v>
      </c>
      <c r="C568" s="4" t="str">
        <f ca="1">IFERROR(__xludf.DUMMYFUNCTION("""COMPUTED_VALUE"""),"SSY1-RTL15AET-1C81")</f>
        <v>SSY1-RTL15AET-1C81</v>
      </c>
      <c r="D568" s="4" t="str">
        <f ca="1">IFERROR(__xludf.DUMMYFUNCTION("""COMPUTED_VALUE"""),"Продление подписки на обновления 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"&amp;"товары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"&amp;"с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Продление подписки на обновления 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8" s="4" t="str">
        <f ca="1">IFERROR(__xludf.DUMMYFUNCTION("""COMPUTED_VALUE"""),"Продление подписки на обновления 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"&amp;"товары по штрихкодам  на 1 (один) год")</f>
        <v>Продление подписки на обновления Mobile SMARTS: Магазин 15 с ЕГАИС и МОТП,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568" s="5">
        <f ca="1">IFERROR(__xludf.DUMMYFUNCTION("""COMPUTED_VALUE"""),2830)</f>
        <v>2830</v>
      </c>
    </row>
    <row r="569" spans="1:6" ht="72" customHeight="1" x14ac:dyDescent="0.2">
      <c r="A569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69" s="4" t="str">
        <f ca="1">IFERROR(__xludf.DUMMYFUNCTION("""COMPUTED_VALUE"""),"с ЕГАИС и МОТП, РАСШИРЕННЫЙ")</f>
        <v>с ЕГАИС и МОТП, РАСШИРЕННЫЙ</v>
      </c>
      <c r="C569" s="4" t="str">
        <f ca="1">IFERROR(__xludf.DUMMYFUNCTION("""COMPUTED_VALUE"""),"SSY1-RTL15BET-1C81")</f>
        <v>SSY1-RTL15BET-1C81</v>
      </c>
      <c r="D569" s="4" t="str">
        <f ca="1">IFERROR(__xludf.DUMMYFUNCTION("""COMPUTED_VALUE"""),"Продление подписки на обновления 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ТАБА"&amp;"К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т"&amp;".ч.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возмо"&amp;"жности: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(о"&amp;"дин) год")</f>
        <v>Продление подписки на обновления 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69" s="4" t="str">
        <f ca="1">IFERROR(__xludf.DUMMYFUNCTION("""COMPUTED_VALUE"""),"Продление подписки на обновления 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ТАБА"&amp;"К и товары по штрихкодам  на 1 (один) год")</f>
        <v>Продление подписки на обновления Mobile SMARTS: Магазин 15 с ЕГАИС и МОТП,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569" s="5">
        <f ca="1">IFERROR(__xludf.DUMMYFUNCTION("""COMPUTED_VALUE"""),4110)</f>
        <v>4110</v>
      </c>
    </row>
    <row r="570" spans="1:6" ht="72" customHeight="1" x14ac:dyDescent="0.2">
      <c r="A570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0" s="4" t="str">
        <f ca="1">IFERROR(__xludf.DUMMYFUNCTION("""COMPUTED_VALUE"""),"с ЕГАИС и МОТП, МЕГАМАРКЕТ")</f>
        <v>с ЕГАИС и МОТП, МЕГАМАРКЕТ</v>
      </c>
      <c r="C570" s="4" t="str">
        <f ca="1">IFERROR(__xludf.DUMMYFUNCTION("""COMPUTED_VALUE"""),"SSY1-RTL15CET-1C81")</f>
        <v>SSY1-RTL15CET-1C81</v>
      </c>
      <c r="D570" s="4" t="str">
        <f ca="1">IFERROR(__xludf.DUMMYFUNCTION("""COMPUTED_VALUE"""),"Продление подписки на обновления 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ТАБАК"&amp;"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возмож"&amp;"ности: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Продление подписки на обновления 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0" s="4" t="str">
        <f ca="1">IFERROR(__xludf.DUMMYFUNCTION("""COMPUTED_VALUE"""),"Продление подписки на обновления 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ТАБАК"&amp;" и товары по штрихкодам  на 1 (один) год")</f>
        <v>Продление подписки на обновления Mobile SMARTS: Магазин 15 с ЕГАИС и МОТП,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570" s="5">
        <f ca="1">IFERROR(__xludf.DUMMYFUNCTION("""COMPUTED_VALUE"""),5670)</f>
        <v>5670</v>
      </c>
    </row>
    <row r="571" spans="1:6" ht="72" customHeight="1" x14ac:dyDescent="0.2">
      <c r="A571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1" s="4" t="str">
        <f ca="1">IFERROR(__xludf.DUMMYFUNCTION("""COMPUTED_VALUE"""),"ШМОТКИ, БАЗОВЫЙ")</f>
        <v>ШМОТКИ, БАЗОВЫЙ</v>
      </c>
      <c r="C571" s="4" t="str">
        <f ca="1">IFERROR(__xludf.DUMMYFUNCTION("""COMPUTED_VALUE"""),"SSY1-RTL15AK-1C81")</f>
        <v>SSY1-RTL15AK-1C81</v>
      </c>
      <c r="D571" s="4" t="str">
        <f ca="1">IFERROR(__xludf.DUMMYFUNCTION("""COMPUTED_VALUE"""),"Продление подписки на обновления 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ШИН"&amp;"Ы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свои"&amp;"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1" s="4" t="str">
        <f ca="1">IFERROR(__xludf.DUMMYFUNCTION("""COMPUTED_VALUE"""),"Продление подписки на обновления 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ШИН"&amp;"Ы и товары по штрихкодам  на 1 (один) год")</f>
        <v>Продление подписки на обновления Mobile SMARTS: Магазин 15 ШМОТКИ, БАЗОВЫЙ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 на 1 (один) год</v>
      </c>
      <c r="F571" s="5">
        <f ca="1">IFERROR(__xludf.DUMMYFUNCTION("""COMPUTED_VALUE"""),2830)</f>
        <v>2830</v>
      </c>
    </row>
    <row r="572" spans="1:6" ht="72" customHeight="1" x14ac:dyDescent="0.2">
      <c r="A572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2" s="4" t="str">
        <f ca="1">IFERROR(__xludf.DUMMYFUNCTION("""COMPUTED_VALUE"""),"ШМОТКИ, РАСШИРЕННЫЙ")</f>
        <v>ШМОТКИ, РАСШИРЕННЫЙ</v>
      </c>
      <c r="C572" s="4" t="str">
        <f ca="1">IFERROR(__xludf.DUMMYFUNCTION("""COMPUTED_VALUE"""),"SSY1-RTL15BK-1C81")</f>
        <v>SSY1-RTL15BK-1C81</v>
      </c>
      <c r="D572" s="4" t="str">
        <f ca="1">IFERROR(__xludf.DUMMYFUNCTION("""COMPUTED_VALUE"""),"Продление подписки на обновления 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ПАРФЮМ,"&amp;"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"&amp;"свои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2" s="4" t="str">
        <f ca="1">IFERROR(__xludf.DUMMYFUNCTION("""COMPUTED_VALUE"""),"Продление подписки на обновления 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ПАРФЮМ,"&amp;" ШИНЫ и товары по штрихкодам  на 1 (один) год")</f>
        <v>Продление подписки на обновления Mobile SMARTS: Магазин 15 ШМОТКИ, РАСШИРЕННЫЙ для конфигурации на базе «1С:Предприятия 8.1»,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 на 1 (один) год</v>
      </c>
      <c r="F572" s="5">
        <f ca="1">IFERROR(__xludf.DUMMYFUNCTION("""COMPUTED_VALUE"""),4110)</f>
        <v>4110</v>
      </c>
    </row>
    <row r="573" spans="1:6" ht="72" customHeight="1" x14ac:dyDescent="0.2">
      <c r="A573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3" s="4" t="str">
        <f ca="1">IFERROR(__xludf.DUMMYFUNCTION("""COMPUTED_VALUE"""),"ШМОТКИ, МЕГАМАРКЕТ")</f>
        <v>ШМОТКИ, МЕГАМАРКЕТ</v>
      </c>
      <c r="C573" s="4" t="str">
        <f ca="1">IFERROR(__xludf.DUMMYFUNCTION("""COMPUTED_VALUE"""),"SSY1-RTL15CK-1C81")</f>
        <v>SSY1-RTL15CK-1C81</v>
      </c>
      <c r="D573" s="4" t="str">
        <f ca="1">IFERROR(__xludf.DUMMYFUNCTION("""COMPUTED_VALUE"""),"Продление подписки на обновления 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штр"&amp;"ихкодам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"&amp;"по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"&amp;"свои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73" s="4" t="str">
        <f ca="1">IFERROR(__xludf.DUMMYFUNCTION("""COMPUTED_VALUE"""),"Продление подписки на обновления 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штр"&amp;"ихкодам  на 1 (один) год")</f>
        <v>Продление подписки на обновления Mobile SMARTS: Магазин 15 ШМОТКИ, МЕГАМАРКЕТ для конфигурации на базе «1С:Предприятия 8.1», для самостоятельной разработки и интеграции обмена с учетной системой, для работы с маркированной ОБУВЬЮ, ОДЕЖДОЙ и товаром по штрихкодам  на 1 (один) год</v>
      </c>
      <c r="F573" s="5">
        <f ca="1">IFERROR(__xludf.DUMMYFUNCTION("""COMPUTED_VALUE"""),5670)</f>
        <v>5670</v>
      </c>
    </row>
    <row r="574" spans="1:6" ht="72" customHeight="1" x14ac:dyDescent="0.2">
      <c r="A574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4" s="4" t="str">
        <f ca="1">IFERROR(__xludf.DUMMYFUNCTION("""COMPUTED_VALUE"""),"с МДЛП, БАЗОВЫЙ")</f>
        <v>с МДЛП, БАЗОВЫЙ</v>
      </c>
      <c r="C574" s="4" t="str">
        <f ca="1">IFERROR(__xludf.DUMMYFUNCTION("""COMPUTED_VALUE"""),"SSY1-RTL15AL-1C81")</f>
        <v>SSY1-RTL15AL-1C81</v>
      </c>
      <c r="D574" s="4" t="str">
        <f ca="1">IFERROR(__xludf.DUMMYFUNCTION("""COMPUTED_VALUE"""),"Продление подписки на обновления Mobile SMARTS: Магазин 15 с МДЛП,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товаром"&amp;"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п"&amp;"еремещение,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1"&amp;" (один) год")</f>
        <v>Продление подписки на обновления Mobile SMARTS: Магазин 15 с МДЛП,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74" s="4" t="str">
        <f ca="1">IFERROR(__xludf.DUMMYFUNCTION("""COMPUTED_VALUE"""),"Продление подписки на обновления Mobile SMARTS: Магазин 15 с МДЛП, БАЗОВЫЙ для конфигурации на базе «1С:Предприятия 8.1»  на 1 (один) год")</f>
        <v>Продление подписки на обновления Mobile SMARTS: Магазин 15 с МДЛП, БАЗОВЫЙ для конфигурации на базе «1С:Предприятия 8.1»  на 1 (один) год</v>
      </c>
      <c r="F574" s="5">
        <f ca="1">IFERROR(__xludf.DUMMYFUNCTION("""COMPUTED_VALUE"""),2091.6)</f>
        <v>2091.6</v>
      </c>
    </row>
    <row r="575" spans="1:6" ht="72" customHeight="1" x14ac:dyDescent="0.2">
      <c r="A575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5" s="4" t="str">
        <f ca="1">IFERROR(__xludf.DUMMYFUNCTION("""COMPUTED_VALUE"""),"с МДЛП, РАСШИРЕННЫЙ")</f>
        <v>с МДЛП, РАСШИРЕННЫЙ</v>
      </c>
      <c r="C575" s="4" t="str">
        <f ca="1">IFERROR(__xludf.DUMMYFUNCTION("""COMPUTED_VALUE"""),"SSY1-RTL15BL-1C81")</f>
        <v>SSY1-RTL15BL-1C81</v>
      </c>
      <c r="D575" s="4" t="str">
        <f ca="1">IFERROR(__xludf.DUMMYFUNCTION("""COMPUTED_VALUE"""),"Продление подписки на обновления Mobile SMARTS: Магазин 15 с МДЛП,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тов"&amp;"аром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"&amp;"на 1 (один) год")</f>
        <v>Продление подписки на обновления Mobile SMARTS: Магазин 15 с МДЛП,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75" s="4" t="str">
        <f ca="1">IFERROR(__xludf.DUMMYFUNCTION("""COMPUTED_VALUE"""),"Продление подписки на обновления Mobile SMARTS: Магазин 15 с МДЛП, РАСШИРЕННЫЙ для конфигурации на базе «1С:Предприятия 8.1»  на 1 (один) год")</f>
        <v>Продление подписки на обновления Mobile SMARTS: Магазин 15 с МДЛП, РАСШИРЕННЫЙ для конфигурации на базе «1С:Предприятия 8.1»  на 1 (один) год</v>
      </c>
      <c r="F575" s="5">
        <f ca="1">IFERROR(__xludf.DUMMYFUNCTION("""COMPUTED_VALUE"""),3075.6)</f>
        <v>3075.6</v>
      </c>
    </row>
    <row r="576" spans="1:6" ht="72" customHeight="1" x14ac:dyDescent="0.2">
      <c r="A576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6" s="4" t="str">
        <f ca="1">IFERROR(__xludf.DUMMYFUNCTION("""COMPUTED_VALUE"""),"с МДЛП, МЕГАМАРКЕТ")</f>
        <v>с МДЛП, МЕГАМАРКЕТ</v>
      </c>
      <c r="C576" s="4" t="str">
        <f ca="1">IFERROR(__xludf.DUMMYFUNCTION("""COMPUTED_VALUE"""),"SSY1-RTL15CL-1C81")</f>
        <v>SSY1-RTL15CL-1C81</v>
      </c>
      <c r="D576" s="4" t="str">
        <f ca="1">IFERROR(__xludf.DUMMYFUNCTION("""COMPUTED_VALUE"""),"Продление подписки на обновления Mobile SMARTS: Магазин 15 с МДЛП,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това"&amp;"ром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КМ)"&amp;",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(од"&amp;"но) моб. устройство на 1 (один) год")</f>
        <v>Продление подписки на обновления Mobile SMARTS: Магазин 15 с МДЛП,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76" s="4" t="str">
        <f ca="1">IFERROR(__xludf.DUMMYFUNCTION("""COMPUTED_VALUE"""),"Продление подписки на обновления Mobile SMARTS: Магазин 15 с МДЛП, МЕГАМАРКЕТ для конфигурации на базе «1С:Предприятия 8.1»  на 1 (один) год")</f>
        <v>Продление подписки на обновления Mobile SMARTS: Магазин 15 с МДЛП, МЕГАМАРКЕТ для конфигурации на базе «1С:Предприятия 8.1»  на 1 (один) год</v>
      </c>
      <c r="F576" s="5">
        <f ca="1">IFERROR(__xludf.DUMMYFUNCTION("""COMPUTED_VALUE"""),4539.6)</f>
        <v>4539.6000000000004</v>
      </c>
    </row>
    <row r="577" spans="1:6" ht="72" customHeight="1" x14ac:dyDescent="0.2">
      <c r="A577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7" s="4" t="str">
        <f ca="1">IFERROR(__xludf.DUMMYFUNCTION("""COMPUTED_VALUE"""),"ПРОДУКТОВЫЙ, БАЗОВЫЙ")</f>
        <v>ПРОДУКТОВЫЙ, БАЗОВЫЙ</v>
      </c>
      <c r="C577" s="4" t="str">
        <f ca="1">IFERROR(__xludf.DUMMYFUNCTION("""COMPUTED_VALUE"""),"SSY1-RTL15AG-1C81")</f>
        <v>SSY1-RTL15AG-1C81</v>
      </c>
      <c r="D577" s="4" t="str">
        <f ca="1">IFERROR(__xludf.DUMMYFUNCTION("""COMPUTED_VALUE"""),"Продление подписки на обновления Mobile SMARTS: Магазин 15 ПРОДУКТОВЫЙ,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ТАБА"&amp;"К,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инв"&amp;"ентаризация,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настройк"&amp;"и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77" s="4" t="str">
        <f ca="1">IFERROR(__xludf.DUMMYFUNCTION("""COMPUTED_VALUE"""),"Продление подписки на обновления Mobile SMARTS: Магазин 15 ПРОДУКТОВЫЙ, БАЗОВЫЙ для конфигурации на базе «1С:Предприятия 8.1»  на 1 (один) год")</f>
        <v>Продление подписки на обновления Mobile SMARTS: Магазин 15 ПРОДУКТОВЫЙ, БАЗОВЫЙ для конфигурации на базе «1С:Предприятия 8.1»  на 1 (один) год</v>
      </c>
      <c r="F577" s="5">
        <f ca="1">IFERROR(__xludf.DUMMYFUNCTION("""COMPUTED_VALUE"""),2631.6)</f>
        <v>2631.6</v>
      </c>
    </row>
    <row r="578" spans="1:6" ht="72" customHeight="1" x14ac:dyDescent="0.2">
      <c r="A578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8" s="4" t="str">
        <f ca="1">IFERROR(__xludf.DUMMYFUNCTION("""COMPUTED_VALUE"""),"ПРОДУКТОВЫЙ, РАСШИРЕННЫЙ")</f>
        <v>ПРОДУКТОВЫЙ, РАСШИРЕННЫЙ</v>
      </c>
      <c r="C578" s="4" t="str">
        <f ca="1">IFERROR(__xludf.DUMMYFUNCTION("""COMPUTED_VALUE"""),"SSY1-RTL15BG-1C81")</f>
        <v>SSY1-RTL15BG-1C81</v>
      </c>
      <c r="D578" s="4" t="str">
        <f ca="1">IFERROR(__xludf.DUMMYFUNCTION("""COMPUTED_VALUE"""),"Продление подписки на обновления Mobile SMARTS: Магазин 15 ПРОДУКТОВЫЙ,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"&amp;"ТАБАК,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КМ),"&amp;"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наст"&amp;"ройки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78" s="4" t="str">
        <f ca="1">IFERROR(__xludf.DUMMYFUNCTION("""COMPUTED_VALUE"""),"Продление подписки на обновления Mobile SMARTS: Магазин 15 ПРОДУКТОВЫЙ, РАСШИРЕННЫЙ для конфигурации на базе «1С:Предприятия 8.1»  на 1 (один) год")</f>
        <v>Продление подписки на обновления Mobile SMARTS: Магазин 15 ПРОДУКТОВЫЙ, РАСШИРЕННЫЙ для конфигурации на базе «1С:Предприятия 8.1»  на 1 (один) год</v>
      </c>
      <c r="F578" s="5">
        <f ca="1">IFERROR(__xludf.DUMMYFUNCTION("""COMPUTED_VALUE"""),3615.6)</f>
        <v>3615.6</v>
      </c>
    </row>
    <row r="579" spans="1:6" ht="72" customHeight="1" x14ac:dyDescent="0.2">
      <c r="A579" s="4" t="str">
        <f ca="1">IFERROR(__xludf.DUMMYFUNCTION("""COMPUTED_VALUE"""),"конфигурации на базе «1С:Предприятия 8.1»")</f>
        <v>конфигурации на базе «1С:Предприятия 8.1»</v>
      </c>
      <c r="B579" s="4" t="str">
        <f ca="1">IFERROR(__xludf.DUMMYFUNCTION("""COMPUTED_VALUE"""),"ПРОДУКТОВЫЙ, МЕГАМАРКЕТ")</f>
        <v>ПРОДУКТОВЫЙ, МЕГАМАРКЕТ</v>
      </c>
      <c r="C579" s="4" t="str">
        <f ca="1">IFERROR(__xludf.DUMMYFUNCTION("""COMPUTED_VALUE"""),"SSY1-RTL15CG-1C81")</f>
        <v>SSY1-RTL15CG-1C81</v>
      </c>
      <c r="D579" s="4" t="str">
        <f ca="1">IFERROR(__xludf.DUMMYFUNCTION("""COMPUTED_VALUE"""),"Продление подписки на обновления Mobile SMARTS: Магазин 15 ПРОДУКТОВЫЙ,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Т"&amp;"АБАК,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"&amp;"инвентаризация,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настр"&amp;"ойки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МЕГАМАРКЕТ для конфигурации на базе «1С:Предприятия 8.1»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79" s="4" t="str">
        <f ca="1">IFERROR(__xludf.DUMMYFUNCTION("""COMPUTED_VALUE"""),"Продление подписки на обновления Mobile SMARTS: Магазин 15 ПРОДУКТОВЫЙ, МЕГАМАРКЕТ для конфигурации на базе «1С:Предприятия 8.1»  на 1 (один) год")</f>
        <v>Продление подписки на обновления Mobile SMARTS: Магазин 15 ПРОДУКТОВЫЙ, МЕГАМАРКЕТ для конфигурации на базе «1С:Предприятия 8.1»  на 1 (один) год</v>
      </c>
      <c r="F579" s="5">
        <f ca="1">IFERROR(__xludf.DUMMYFUNCTION("""COMPUTED_VALUE"""),6033.8)</f>
        <v>6033.8</v>
      </c>
    </row>
    <row r="580" spans="1:6" ht="72" customHeight="1" x14ac:dyDescent="0.2">
      <c r="A580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0" s="4" t="str">
        <f ca="1">IFERROR(__xludf.DUMMYFUNCTION("""COMPUTED_VALUE"""),"МИНИМУМ")</f>
        <v>МИНИМУМ</v>
      </c>
      <c r="C580" s="4" t="str">
        <f ca="1">IFERROR(__xludf.DUMMYFUNCTION("""COMPUTED_VALUE"""),"SSY1-RTL15M-1C82")</f>
        <v>SSY1-RTL15M-1C82</v>
      </c>
      <c r="D580" s="4" t="str">
        <f ca="1">IFERROR(__xludf.DUMMYFUNCTION("""COMPUTED_VALUE"""),"Продление подписки на обновления 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беспроводной"&amp;"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опер"&amp;"ации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80" s="4" t="str">
        <f ca="1">IFERROR(__xludf.DUMMYFUNCTION("""COMPUTED_VALUE"""),"Продление подписки на обновления 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МИНИМУМ для конфигурации на базе «1С:Предприятия 8.2», для самостоятельной разработки и интеграции обмена с учетной системой, для работы с товаром по штрихкодам  на 1 (один) год</v>
      </c>
      <c r="F580" s="5">
        <f ca="1">IFERROR(__xludf.DUMMYFUNCTION("""COMPUTED_VALUE"""),1090)</f>
        <v>1090</v>
      </c>
    </row>
    <row r="581" spans="1:6" ht="72" customHeight="1" x14ac:dyDescent="0.2">
      <c r="A581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1" s="4" t="str">
        <f ca="1">IFERROR(__xludf.DUMMYFUNCTION("""COMPUTED_VALUE"""),"БАЗОВЫЙ")</f>
        <v>БАЗОВЫЙ</v>
      </c>
      <c r="C581" s="4" t="str">
        <f ca="1">IFERROR(__xludf.DUMMYFUNCTION("""COMPUTED_VALUE"""),"SSY1-RTL15A-1C82")</f>
        <v>SSY1-RTL15A-1C82</v>
      </c>
      <c r="D581" s="4" t="str">
        <f ca="1">IFERROR(__xludf.DUMMYFUNCTION("""COMPUTED_VALUE"""),"Продление подписки на обновления 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беспроводной"&amp;"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QR-ко"&amp;"дов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Продление подписки на обновления 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1" s="4" t="str">
        <f ca="1">IFERROR(__xludf.DUMMYFUNCTION("""COMPUTED_VALUE"""),"Продление подписки на обновления 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БАЗОВЫЙ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 на 1 (один) год</v>
      </c>
      <c r="F581" s="5">
        <f ca="1">IFERROR(__xludf.DUMMYFUNCTION("""COMPUTED_VALUE"""),2130)</f>
        <v>2130</v>
      </c>
    </row>
    <row r="582" spans="1:6" ht="72" customHeight="1" x14ac:dyDescent="0.2">
      <c r="A582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2" s="4" t="str">
        <f ca="1">IFERROR(__xludf.DUMMYFUNCTION("""COMPUTED_VALUE"""),"РАСШИРЕННЫЙ")</f>
        <v>РАСШИРЕННЫЙ</v>
      </c>
      <c r="C582" s="4" t="str">
        <f ca="1">IFERROR(__xludf.DUMMYFUNCTION("""COMPUTED_VALUE"""),"SSY1-RTL15B-1C82")</f>
        <v>SSY1-RTL15B-1C82</v>
      </c>
      <c r="D582" s="4" t="str">
        <f ca="1">IFERROR(__xludf.DUMMYFUNCTION("""COMPUTED_VALUE"""),"Продление подписки на обновления 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беспрово"&amp;"дной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2" s="4" t="str">
        <f ca="1">IFERROR(__xludf.DUMMYFUNCTION("""COMPUTED_VALUE"""),"Продление подписки на обновления 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РАСШИРЕННЫЙ для конфигурации на базе «1С:Предприятия 8.2», для самостоятельной разработки и интеграции обмена с учетной системой, для работы с товаром по штрихкодам  на 1 (один) год</v>
      </c>
      <c r="F582" s="5">
        <f ca="1">IFERROR(__xludf.DUMMYFUNCTION("""COMPUTED_VALUE"""),3410)</f>
        <v>3410</v>
      </c>
    </row>
    <row r="583" spans="1:6" ht="72" customHeight="1" x14ac:dyDescent="0.2">
      <c r="A583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3" s="4" t="str">
        <f ca="1">IFERROR(__xludf.DUMMYFUNCTION("""COMPUTED_VALUE"""),"МЕГАМАРКЕТ")</f>
        <v>МЕГАМАРКЕТ</v>
      </c>
      <c r="C583" s="4" t="str">
        <f ca="1">IFERROR(__xludf.DUMMYFUNCTION("""COMPUTED_VALUE"""),"SSY1-RTL15C-1C82")</f>
        <v>SSY1-RTL15C-1C82</v>
      </c>
      <c r="D583" s="4" t="str">
        <f ca="1">IFERROR(__xludf.DUMMYFUNCTION("""COMPUTED_VALUE"""),"Продление подписки на обновления 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беспровод"&amp;"ной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QR"&amp;"-кодов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Продление подписки на обновления 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3" s="4" t="str">
        <f ca="1">IFERROR(__xludf.DUMMYFUNCTION("""COMPUTED_VALUE"""),"Продление подписки на обновления 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МЕГАМАРКЕТ для конфигурации на базе «1С:Предприятия 8.2», для самостоятельной разработки и интеграции обмена с учетной системой, для работы с товаром по штрихкодам  на 1 (один) год</v>
      </c>
      <c r="F583" s="5">
        <f ca="1">IFERROR(__xludf.DUMMYFUNCTION("""COMPUTED_VALUE"""),4710)</f>
        <v>4710</v>
      </c>
    </row>
    <row r="584" spans="1:6" ht="72" customHeight="1" x14ac:dyDescent="0.2">
      <c r="A584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4" s="4" t="str">
        <f ca="1">IFERROR(__xludf.DUMMYFUNCTION("""COMPUTED_VALUE"""),"с ЕГАИС, БАЗОВЫЙ")</f>
        <v>с ЕГАИС, БАЗОВЫЙ</v>
      </c>
      <c r="C584" s="4" t="str">
        <f ca="1">IFERROR(__xludf.DUMMYFUNCTION("""COMPUTED_VALUE"""),"SSY1-RTL15AE-1C82")</f>
        <v>SSY1-RTL15AE-1C82</v>
      </c>
      <c r="D584" s="4" t="str">
        <f ca="1">IFERROR(__xludf.DUMMYFUNCTION("""COMPUTED_VALUE"""),"Продление подписки на обновления 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п"&amp;"о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инвентаризация"&amp;",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"&amp;"лицензия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584" s="4" t="str">
        <f ca="1">IFERROR(__xludf.DUMMYFUNCTION("""COMPUTED_VALUE"""),"Продление подписки на обновления 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п"&amp;"о штрихкодам  на 1 (один) год")</f>
        <v>Продление подписки на обновления Mobile SMARTS: Магазин 15 с ЕГАИС,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584" s="5">
        <f ca="1">IFERROR(__xludf.DUMMYFUNCTION("""COMPUTED_VALUE"""),2600)</f>
        <v>2600</v>
      </c>
    </row>
    <row r="585" spans="1:6" ht="72" customHeight="1" x14ac:dyDescent="0.2">
      <c r="A585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5" s="4" t="str">
        <f ca="1">IFERROR(__xludf.DUMMYFUNCTION("""COMPUTED_VALUE"""),"с ЕГАИС, РАСШИРЕННЫЙ")</f>
        <v>с ЕГАИС, РАСШИРЕННЫЙ</v>
      </c>
      <c r="C585" s="4" t="str">
        <f ca="1">IFERROR(__xludf.DUMMYFUNCTION("""COMPUTED_VALUE"""),"SSY1-RTL15BE-1C82")</f>
        <v>SSY1-RTL15BE-1C82</v>
      </c>
      <c r="D585" s="4" t="str">
        <f ca="1">IFERROR(__xludf.DUMMYFUNCTION("""COMPUTED_VALUE"""),"Продление подписки на обновления 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това"&amp;"ры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инвентариз"&amp;"ация,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5" s="4" t="str">
        <f ca="1">IFERROR(__xludf.DUMMYFUNCTION("""COMPUTED_VALUE"""),"Продление подписки на обновления 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това"&amp;"ры по штрихкодам  на 1 (один) год")</f>
        <v>Продление подписки на обновления Mobile SMARTS: Магазин 15 с ЕГАИС,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585" s="5">
        <f ca="1">IFERROR(__xludf.DUMMYFUNCTION("""COMPUTED_VALUE"""),3890)</f>
        <v>3890</v>
      </c>
    </row>
    <row r="586" spans="1:6" ht="72" customHeight="1" x14ac:dyDescent="0.2">
      <c r="A586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6" s="4" t="str">
        <f ca="1">IFERROR(__xludf.DUMMYFUNCTION("""COMPUTED_VALUE"""),"с ЕГАИС (без CheckMark2), МЕГАМАРКЕТ")</f>
        <v>с ЕГАИС (без CheckMark2), МЕГАМАРКЕТ</v>
      </c>
      <c r="C586" s="4" t="str">
        <f ca="1">IFERROR(__xludf.DUMMYFUNCTION("""COMPUTED_VALUE"""),"SSY1-RTL15CEV-1C82")</f>
        <v>SSY1-RTL15CEV-1C82</v>
      </c>
      <c r="D586" s="4" t="str">
        <f ca="1">IFERROR(__xludf.DUMMYFUNCTION("""COMPUTED_VALUE"""),"Продление подписки на обновления 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алког"&amp;"оль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переоц"&amp;"енка,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возм"&amp;"ожность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6" s="4" t="str">
        <f ca="1">IFERROR(__xludf.DUMMYFUNCTION("""COMPUTED_VALUE"""),"Продление подписки на обновления 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алког"&amp;"оль ЕГАИС и товары по штрихкодам  на 1 (один) год")</f>
        <v>Продление подписки на обновления Mobile SMARTS: Магазин 15 с ЕГАИС (без CheckMark2),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586" s="5">
        <f ca="1">IFERROR(__xludf.DUMMYFUNCTION("""COMPUTED_VALUE"""),5170)</f>
        <v>5170</v>
      </c>
    </row>
    <row r="587" spans="1:6" ht="72" customHeight="1" x14ac:dyDescent="0.2">
      <c r="A587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7" s="4" t="str">
        <f ca="1">IFERROR(__xludf.DUMMYFUNCTION("""COMPUTED_VALUE"""),"с МОТП, БАЗОВЫЙ")</f>
        <v>с МОТП, БАЗОВЫЙ</v>
      </c>
      <c r="C587" s="4" t="str">
        <f ca="1">IFERROR(__xludf.DUMMYFUNCTION("""COMPUTED_VALUE"""),"SSY1-RTL15AT-1C82")</f>
        <v>SSY1-RTL15AT-1C82</v>
      </c>
      <c r="D587" s="4" t="str">
        <f ca="1">IFERROR(__xludf.DUMMYFUNCTION("""COMPUTED_VALUE"""),"Продление подписки на обновления 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штрихкод"&amp;"ам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бессрочная"&amp;"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7" s="4" t="str">
        <f ca="1">IFERROR(__xludf.DUMMYFUNCTION("""COMPUTED_VALUE"""),"Продление подписки на обновления 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штрихкод"&amp;"ам  на 1 (один) год")</f>
        <v>Продление подписки на обновления Mobile SMARTS: Магазин 15 с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587" s="5">
        <f ca="1">IFERROR(__xludf.DUMMYFUNCTION("""COMPUTED_VALUE"""),2630)</f>
        <v>2630</v>
      </c>
    </row>
    <row r="588" spans="1:6" ht="72" customHeight="1" x14ac:dyDescent="0.2">
      <c r="A588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8" s="4" t="str">
        <f ca="1">IFERROR(__xludf.DUMMYFUNCTION("""COMPUTED_VALUE"""),"с МОТП, РАСШИРЕННЫЙ")</f>
        <v>с МОТП, РАСШИРЕННЫЙ</v>
      </c>
      <c r="C588" s="4" t="str">
        <f ca="1">IFERROR(__xludf.DUMMYFUNCTION("""COMPUTED_VALUE"""),"SSY1-RTL15BT-1C82")</f>
        <v>SSY1-RTL15BT-1C82</v>
      </c>
      <c r="D588" s="4" t="str">
        <f ca="1">IFERROR(__xludf.DUMMYFUNCTION("""COMPUTED_VALUE"""),"Продление подписки на обновления 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штри"&amp;"хкодам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8" s="4" t="str">
        <f ca="1">IFERROR(__xludf.DUMMYFUNCTION("""COMPUTED_VALUE"""),"Продление подписки на обновления 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штри"&amp;"хкодам  на 1 (один) год")</f>
        <v>Продление подписки на обновления Mobile SMARTS: Магазин 15 с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588" s="5">
        <f ca="1">IFERROR(__xludf.DUMMYFUNCTION("""COMPUTED_VALUE"""),3890)</f>
        <v>3890</v>
      </c>
    </row>
    <row r="589" spans="1:6" ht="72" customHeight="1" x14ac:dyDescent="0.2">
      <c r="A589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89" s="4" t="str">
        <f ca="1">IFERROR(__xludf.DUMMYFUNCTION("""COMPUTED_VALUE"""),"с МОТП, МЕГАМАРКЕТ")</f>
        <v>с МОТП, МЕГАМАРКЕТ</v>
      </c>
      <c r="C589" s="4" t="str">
        <f ca="1">IFERROR(__xludf.DUMMYFUNCTION("""COMPUTED_VALUE"""),"SSY1-RTL15CT-1C82")</f>
        <v>SSY1-RTL15CT-1C82</v>
      </c>
      <c r="D589" s="4" t="str">
        <f ca="1">IFERROR(__xludf.DUMMYFUNCTION("""COMPUTED_VALUE"""),"Продление подписки на обновления 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штрих"&amp;"кодам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по"&amp;"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св"&amp;"ои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89" s="4" t="str">
        <f ca="1">IFERROR(__xludf.DUMMYFUNCTION("""COMPUTED_VALUE"""),"Продление подписки на обновления 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штрих"&amp;"кодам  на 1 (один) год")</f>
        <v>Продление подписки на обновления Mobile SMARTS: Магазин 15 с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589" s="5">
        <f ca="1">IFERROR(__xludf.DUMMYFUNCTION("""COMPUTED_VALUE"""),5170)</f>
        <v>5170</v>
      </c>
    </row>
    <row r="590" spans="1:6" ht="72" customHeight="1" x14ac:dyDescent="0.2">
      <c r="A590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0" s="4" t="str">
        <f ca="1">IFERROR(__xludf.DUMMYFUNCTION("""COMPUTED_VALUE"""),"с ЕГАИС и МОТП, БАЗОВЫЙ")</f>
        <v>с ЕГАИС и МОТП, БАЗОВЫЙ</v>
      </c>
      <c r="C590" s="4" t="str">
        <f ca="1">IFERROR(__xludf.DUMMYFUNCTION("""COMPUTED_VALUE"""),"SSY1-RTL15AET-1C82")</f>
        <v>SSY1-RTL15AET-1C82</v>
      </c>
      <c r="D590" s="4" t="str">
        <f ca="1">IFERROR(__xludf.DUMMYFUNCTION("""COMPUTED_VALUE"""),"Продление подписки на обновления 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"&amp;"товары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"&amp;"с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Продление подписки на обновления 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0" s="4" t="str">
        <f ca="1">IFERROR(__xludf.DUMMYFUNCTION("""COMPUTED_VALUE"""),"Продление подписки на обновления 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"&amp;"товары по штрихкодам  на 1 (один) год")</f>
        <v>Продление подписки на обновления Mobile SMARTS: Магазин 15 с ЕГАИС и МОТП,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590" s="5">
        <f ca="1">IFERROR(__xludf.DUMMYFUNCTION("""COMPUTED_VALUE"""),2830)</f>
        <v>2830</v>
      </c>
    </row>
    <row r="591" spans="1:6" ht="72" customHeight="1" x14ac:dyDescent="0.2">
      <c r="A591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1" s="4" t="str">
        <f ca="1">IFERROR(__xludf.DUMMYFUNCTION("""COMPUTED_VALUE"""),"с ЕГАИС и МОТП, РАСШИРЕННЫЙ")</f>
        <v>с ЕГАИС и МОТП, РАСШИРЕННЫЙ</v>
      </c>
      <c r="C591" s="4" t="str">
        <f ca="1">IFERROR(__xludf.DUMMYFUNCTION("""COMPUTED_VALUE"""),"SSY1-RTL15BET-1C82")</f>
        <v>SSY1-RTL15BET-1C82</v>
      </c>
      <c r="D591" s="4" t="str">
        <f ca="1">IFERROR(__xludf.DUMMYFUNCTION("""COMPUTED_VALUE"""),"Продление подписки на обновления 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ТАБА"&amp;"К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т"&amp;".ч.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возмо"&amp;"жности: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(о"&amp;"дин) год")</f>
        <v>Продление подписки на обновления 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1" s="4" t="str">
        <f ca="1">IFERROR(__xludf.DUMMYFUNCTION("""COMPUTED_VALUE"""),"Продление подписки на обновления 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ТАБА"&amp;"К и товары по штрихкодам  на 1 (один) год")</f>
        <v>Продление подписки на обновления Mobile SMARTS: Магазин 15 с ЕГАИС и МОТП,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591" s="5">
        <f ca="1">IFERROR(__xludf.DUMMYFUNCTION("""COMPUTED_VALUE"""),4110)</f>
        <v>4110</v>
      </c>
    </row>
    <row r="592" spans="1:6" ht="72" customHeight="1" x14ac:dyDescent="0.2">
      <c r="A592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2" s="4" t="str">
        <f ca="1">IFERROR(__xludf.DUMMYFUNCTION("""COMPUTED_VALUE"""),"с ЕГАИС и МОТП, МЕГАМАРКЕТ")</f>
        <v>с ЕГАИС и МОТП, МЕГАМАРКЕТ</v>
      </c>
      <c r="C592" s="4" t="str">
        <f ca="1">IFERROR(__xludf.DUMMYFUNCTION("""COMPUTED_VALUE"""),"SSY1-RTL15CET-1C82")</f>
        <v>SSY1-RTL15CET-1C82</v>
      </c>
      <c r="D592" s="4" t="str">
        <f ca="1">IFERROR(__xludf.DUMMYFUNCTION("""COMPUTED_VALUE"""),"Продление подписки на обновления 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ТАБАК"&amp;"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возмож"&amp;"ности: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Продление подписки на обновления 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2" s="4" t="str">
        <f ca="1">IFERROR(__xludf.DUMMYFUNCTION("""COMPUTED_VALUE"""),"Продление подписки на обновления 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ТАБАК"&amp;" и товары по штрихкодам  на 1 (один) год")</f>
        <v>Продление подписки на обновления Mobile SMARTS: Магазин 15 с ЕГАИС и МОТП,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592" s="5">
        <f ca="1">IFERROR(__xludf.DUMMYFUNCTION("""COMPUTED_VALUE"""),5670)</f>
        <v>5670</v>
      </c>
    </row>
    <row r="593" spans="1:6" ht="72" customHeight="1" x14ac:dyDescent="0.2">
      <c r="A593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3" s="4" t="str">
        <f ca="1">IFERROR(__xludf.DUMMYFUNCTION("""COMPUTED_VALUE"""),"ШМОТКИ, БАЗОВЫЙ")</f>
        <v>ШМОТКИ, БАЗОВЫЙ</v>
      </c>
      <c r="C593" s="4" t="str">
        <f ca="1">IFERROR(__xludf.DUMMYFUNCTION("""COMPUTED_VALUE"""),"SSY1-RTL15AK-1C82")</f>
        <v>SSY1-RTL15AK-1C82</v>
      </c>
      <c r="D593" s="4" t="str">
        <f ca="1">IFERROR(__xludf.DUMMYFUNCTION("""COMPUTED_VALUE"""),"Продление подписки на обновления 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ШИН"&amp;"Ы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свои"&amp;"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3" s="4" t="str">
        <f ca="1">IFERROR(__xludf.DUMMYFUNCTION("""COMPUTED_VALUE"""),"Продление подписки на обновления 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ШИН"&amp;"Ы и товары по штрихкодам  на 1 (один) год")</f>
        <v>Продление подписки на обновления Mobile SMARTS: Магазин 15 ШМОТКИ, БАЗОВЫЙ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 на 1 (один) год</v>
      </c>
      <c r="F593" s="5">
        <f ca="1">IFERROR(__xludf.DUMMYFUNCTION("""COMPUTED_VALUE"""),2830)</f>
        <v>2830</v>
      </c>
    </row>
    <row r="594" spans="1:6" ht="72" customHeight="1" x14ac:dyDescent="0.2">
      <c r="A594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4" s="4" t="str">
        <f ca="1">IFERROR(__xludf.DUMMYFUNCTION("""COMPUTED_VALUE"""),"ШМОТКИ, РАСШИРЕННЫЙ")</f>
        <v>ШМОТКИ, РАСШИРЕННЫЙ</v>
      </c>
      <c r="C594" s="4" t="str">
        <f ca="1">IFERROR(__xludf.DUMMYFUNCTION("""COMPUTED_VALUE"""),"SSY1-RTL15BK-1C82")</f>
        <v>SSY1-RTL15BK-1C82</v>
      </c>
      <c r="D594" s="4" t="str">
        <f ca="1">IFERROR(__xludf.DUMMYFUNCTION("""COMPUTED_VALUE"""),"Продление подписки на обновления 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ПАРФЮМ,"&amp;"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"&amp;"свои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4" s="4" t="str">
        <f ca="1">IFERROR(__xludf.DUMMYFUNCTION("""COMPUTED_VALUE"""),"Продление подписки на обновления 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ПАРФЮМ,"&amp;" ШИНЫ и товары по штрихкодам  на 1 (один) год")</f>
        <v>Продление подписки на обновления Mobile SMARTS: Магазин 15 ШМОТКИ, РАСШИРЕННЫЙ для конфигурации на базе «1С:Предприятия 8.2»,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 на 1 (один) год</v>
      </c>
      <c r="F594" s="5">
        <f ca="1">IFERROR(__xludf.DUMMYFUNCTION("""COMPUTED_VALUE"""),4110)</f>
        <v>4110</v>
      </c>
    </row>
    <row r="595" spans="1:6" ht="72" customHeight="1" x14ac:dyDescent="0.2">
      <c r="A595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5" s="4" t="str">
        <f ca="1">IFERROR(__xludf.DUMMYFUNCTION("""COMPUTED_VALUE"""),"ШМОТКИ, МЕГАМАРКЕТ")</f>
        <v>ШМОТКИ, МЕГАМАРКЕТ</v>
      </c>
      <c r="C595" s="4" t="str">
        <f ca="1">IFERROR(__xludf.DUMMYFUNCTION("""COMPUTED_VALUE"""),"SSY1-RTL15CK-1C82")</f>
        <v>SSY1-RTL15CK-1C82</v>
      </c>
      <c r="D595" s="4" t="str">
        <f ca="1">IFERROR(__xludf.DUMMYFUNCTION("""COMPUTED_VALUE"""),"Продление подписки на обновления 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штр"&amp;"ихкодам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"&amp;"по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"&amp;"свои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595" s="4" t="str">
        <f ca="1">IFERROR(__xludf.DUMMYFUNCTION("""COMPUTED_VALUE"""),"Продление подписки на обновления 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штр"&amp;"ихкодам  на 1 (один) год")</f>
        <v>Продление подписки на обновления Mobile SMARTS: Магазин 15 ШМОТКИ, МЕГАМАРКЕТ для конфигурации на базе «1С:Предприятия 8.2», для самостоятельной разработки и интеграции обмена с учетной системой, для работы с маркированной ОБУВЬЮ, ОДЕЖДОЙ и товаром по штрихкодам  на 1 (один) год</v>
      </c>
      <c r="F595" s="5">
        <f ca="1">IFERROR(__xludf.DUMMYFUNCTION("""COMPUTED_VALUE"""),5670)</f>
        <v>5670</v>
      </c>
    </row>
    <row r="596" spans="1:6" ht="72" customHeight="1" x14ac:dyDescent="0.2">
      <c r="A596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6" s="4" t="str">
        <f ca="1">IFERROR(__xludf.DUMMYFUNCTION("""COMPUTED_VALUE"""),"с МДЛП, БАЗОВЫЙ")</f>
        <v>с МДЛП, БАЗОВЫЙ</v>
      </c>
      <c r="C596" s="4" t="str">
        <f ca="1">IFERROR(__xludf.DUMMYFUNCTION("""COMPUTED_VALUE"""),"SSY1-RTL15AL-1C82")</f>
        <v>SSY1-RTL15AL-1C82</v>
      </c>
      <c r="D596" s="4" t="str">
        <f ca="1">IFERROR(__xludf.DUMMYFUNCTION("""COMPUTED_VALUE"""),"Продление подписки на обновления Mobile SMARTS: Магазин 15 с МДЛП,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товаром"&amp;"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п"&amp;"еремещение,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1"&amp;" (один) год")</f>
        <v>Продление подписки на обновления Mobile SMARTS: Магазин 15 с МДЛП,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96" s="4" t="str">
        <f ca="1">IFERROR(__xludf.DUMMYFUNCTION("""COMPUTED_VALUE"""),"Продление подписки на обновления Mobile SMARTS: Магазин 15 с МДЛП, БАЗОВЫЙ для конфигурации на базе «1С:Предприятия 8.2»  на 1 (один) год")</f>
        <v>Продление подписки на обновления Mobile SMARTS: Магазин 15 с МДЛП, БАЗОВЫЙ для конфигурации на базе «1С:Предприятия 8.2»  на 1 (один) год</v>
      </c>
      <c r="F596" s="5">
        <f ca="1">IFERROR(__xludf.DUMMYFUNCTION("""COMPUTED_VALUE"""),2091.6)</f>
        <v>2091.6</v>
      </c>
    </row>
    <row r="597" spans="1:6" ht="72" customHeight="1" x14ac:dyDescent="0.2">
      <c r="A597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7" s="4" t="str">
        <f ca="1">IFERROR(__xludf.DUMMYFUNCTION("""COMPUTED_VALUE"""),"с МДЛП, РАСШИРЕННЫЙ")</f>
        <v>с МДЛП, РАСШИРЕННЫЙ</v>
      </c>
      <c r="C597" s="4" t="str">
        <f ca="1">IFERROR(__xludf.DUMMYFUNCTION("""COMPUTED_VALUE"""),"SSY1-RTL15BL-1C82")</f>
        <v>SSY1-RTL15BL-1C82</v>
      </c>
      <c r="D597" s="4" t="str">
        <f ca="1">IFERROR(__xludf.DUMMYFUNCTION("""COMPUTED_VALUE"""),"Продление подписки на обновления Mobile SMARTS: Магазин 15 с МДЛП,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тов"&amp;"аром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"&amp;"на 1 (один) год")</f>
        <v>Продление подписки на обновления Mobile SMARTS: Магазин 15 с МДЛП,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97" s="4" t="str">
        <f ca="1">IFERROR(__xludf.DUMMYFUNCTION("""COMPUTED_VALUE"""),"Продление подписки на обновления Mobile SMARTS: Магазин 15 с МДЛП, РАСШИРЕННЫЙ для конфигурации на базе «1С:Предприятия 8.2»  на 1 (один) год")</f>
        <v>Продление подписки на обновления Mobile SMARTS: Магазин 15 с МДЛП, РАСШИРЕННЫЙ для конфигурации на базе «1С:Предприятия 8.2»  на 1 (один) год</v>
      </c>
      <c r="F597" s="5">
        <f ca="1">IFERROR(__xludf.DUMMYFUNCTION("""COMPUTED_VALUE"""),3075.6)</f>
        <v>3075.6</v>
      </c>
    </row>
    <row r="598" spans="1:6" ht="72" customHeight="1" x14ac:dyDescent="0.2">
      <c r="A598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8" s="4" t="str">
        <f ca="1">IFERROR(__xludf.DUMMYFUNCTION("""COMPUTED_VALUE"""),"с МДЛП, МЕГАМАРКЕТ")</f>
        <v>с МДЛП, МЕГАМАРКЕТ</v>
      </c>
      <c r="C598" s="4" t="str">
        <f ca="1">IFERROR(__xludf.DUMMYFUNCTION("""COMPUTED_VALUE"""),"SSY1-RTL15CL-1C82")</f>
        <v>SSY1-RTL15CL-1C82</v>
      </c>
      <c r="D598" s="4" t="str">
        <f ca="1">IFERROR(__xludf.DUMMYFUNCTION("""COMPUTED_VALUE"""),"Продление подписки на обновления Mobile SMARTS: Магазин 15 с МДЛП,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това"&amp;"ром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КМ)"&amp;",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(од"&amp;"но) моб. устройство на 1 (один) год")</f>
        <v>Продление подписки на обновления Mobile SMARTS: Магазин 15 с МДЛП,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598" s="4" t="str">
        <f ca="1">IFERROR(__xludf.DUMMYFUNCTION("""COMPUTED_VALUE"""),"Продление подписки на обновления Mobile SMARTS: Магазин 15 с МДЛП, МЕГАМАРКЕТ для конфигурации на базе «1С:Предприятия 8.2»  на 1 (один) год")</f>
        <v>Продление подписки на обновления Mobile SMARTS: Магазин 15 с МДЛП, МЕГАМАРКЕТ для конфигурации на базе «1С:Предприятия 8.2»  на 1 (один) год</v>
      </c>
      <c r="F598" s="5">
        <f ca="1">IFERROR(__xludf.DUMMYFUNCTION("""COMPUTED_VALUE"""),4539.6)</f>
        <v>4539.6000000000004</v>
      </c>
    </row>
    <row r="599" spans="1:6" ht="72" customHeight="1" x14ac:dyDescent="0.2">
      <c r="A599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599" s="4" t="str">
        <f ca="1">IFERROR(__xludf.DUMMYFUNCTION("""COMPUTED_VALUE"""),"ПРОДУКТОВЫЙ, БАЗОВЫЙ")</f>
        <v>ПРОДУКТОВЫЙ, БАЗОВЫЙ</v>
      </c>
      <c r="C599" s="4" t="str">
        <f ca="1">IFERROR(__xludf.DUMMYFUNCTION("""COMPUTED_VALUE"""),"SSY1-RTL15AG-1C82")</f>
        <v>SSY1-RTL15AG-1C82</v>
      </c>
      <c r="D599" s="4" t="str">
        <f ca="1">IFERROR(__xludf.DUMMYFUNCTION("""COMPUTED_VALUE"""),"Продление подписки на обновления Mobile SMARTS: Магазин 15 ПРОДУКТОВЫЙ,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ТАБА"&amp;"К,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инв"&amp;"ентаризация,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настройк"&amp;"и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599" s="4" t="str">
        <f ca="1">IFERROR(__xludf.DUMMYFUNCTION("""COMPUTED_VALUE"""),"Продление подписки на обновления Mobile SMARTS: Магазин 15 ПРОДУКТОВЫЙ, БАЗОВЫЙ для конфигурации на базе «1С:Предприятия 8.2»  на 1 (один) год")</f>
        <v>Продление подписки на обновления Mobile SMARTS: Магазин 15 ПРОДУКТОВЫЙ, БАЗОВЫЙ для конфигурации на базе «1С:Предприятия 8.2»  на 1 (один) год</v>
      </c>
      <c r="F599" s="5">
        <f ca="1">IFERROR(__xludf.DUMMYFUNCTION("""COMPUTED_VALUE"""),2631.6)</f>
        <v>2631.6</v>
      </c>
    </row>
    <row r="600" spans="1:6" ht="72" customHeight="1" x14ac:dyDescent="0.2">
      <c r="A600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600" s="4" t="str">
        <f ca="1">IFERROR(__xludf.DUMMYFUNCTION("""COMPUTED_VALUE"""),"ПРОДУКТОВЫЙ, РАСШИРЕННЫЙ")</f>
        <v>ПРОДУКТОВЫЙ, РАСШИРЕННЫЙ</v>
      </c>
      <c r="C600" s="4" t="str">
        <f ca="1">IFERROR(__xludf.DUMMYFUNCTION("""COMPUTED_VALUE"""),"SSY1-RTL15BG-1C82")</f>
        <v>SSY1-RTL15BG-1C82</v>
      </c>
      <c r="D600" s="4" t="str">
        <f ca="1">IFERROR(__xludf.DUMMYFUNCTION("""COMPUTED_VALUE"""),"Продление подписки на обновления Mobile SMARTS: Магазин 15 ПРОДУКТОВЫЙ,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"&amp;"ТАБАК,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КМ),"&amp;"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наст"&amp;"ройки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00" s="4" t="str">
        <f ca="1">IFERROR(__xludf.DUMMYFUNCTION("""COMPUTED_VALUE"""),"Продление подписки на обновления Mobile SMARTS: Магазин 15 ПРОДУКТОВЫЙ, РАСШИРЕННЫЙ для конфигурации на базе «1С:Предприятия 8.2»  на 1 (один) год")</f>
        <v>Продление подписки на обновления Mobile SMARTS: Магазин 15 ПРОДУКТОВЫЙ, РАСШИРЕННЫЙ для конфигурации на базе «1С:Предприятия 8.2»  на 1 (один) год</v>
      </c>
      <c r="F600" s="5">
        <f ca="1">IFERROR(__xludf.DUMMYFUNCTION("""COMPUTED_VALUE"""),3615.6)</f>
        <v>3615.6</v>
      </c>
    </row>
    <row r="601" spans="1:6" ht="72" customHeight="1" x14ac:dyDescent="0.2">
      <c r="A601" s="4" t="str">
        <f ca="1">IFERROR(__xludf.DUMMYFUNCTION("""COMPUTED_VALUE"""),"конфигурации на базе «1С:Предприятия 8.2»")</f>
        <v>конфигурации на базе «1С:Предприятия 8.2»</v>
      </c>
      <c r="B601" s="4" t="str">
        <f ca="1">IFERROR(__xludf.DUMMYFUNCTION("""COMPUTED_VALUE"""),"ПРОДУКТОВЫЙ, МЕГАМАРКЕТ")</f>
        <v>ПРОДУКТОВЫЙ, МЕГАМАРКЕТ</v>
      </c>
      <c r="C601" s="4" t="str">
        <f ca="1">IFERROR(__xludf.DUMMYFUNCTION("""COMPUTED_VALUE"""),"SSY1-RTL15CG-1C82")</f>
        <v>SSY1-RTL15CG-1C82</v>
      </c>
      <c r="D601" s="4" t="str">
        <f ca="1">IFERROR(__xludf.DUMMYFUNCTION("""COMPUTED_VALUE"""),"Продление подписки на обновления Mobile SMARTS: Магазин 15 ПРОДУКТОВЫЙ,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Т"&amp;"АБАК,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"&amp;"инвентаризация,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настр"&amp;"ойки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МЕГАМАРКЕТ для конфигурации на базе «1С:Предприятия 8.2»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01" s="4" t="str">
        <f ca="1">IFERROR(__xludf.DUMMYFUNCTION("""COMPUTED_VALUE"""),"Продление подписки на обновления Mobile SMARTS: Магазин 15 ПРОДУКТОВЫЙ, МЕГАМАРКЕТ для конфигурации на базе «1С:Предприятия 8.2»  на 1 (один) год")</f>
        <v>Продление подписки на обновления Mobile SMARTS: Магазин 15 ПРОДУКТОВЫЙ, МЕГАМАРКЕТ для конфигурации на базе «1С:Предприятия 8.2»  на 1 (один) год</v>
      </c>
      <c r="F601" s="5">
        <f ca="1">IFERROR(__xludf.DUMMYFUNCTION("""COMPUTED_VALUE"""),6033.8)</f>
        <v>6033.8</v>
      </c>
    </row>
    <row r="602" spans="1:6" ht="72" customHeight="1" x14ac:dyDescent="0.2">
      <c r="A602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2" s="4" t="str">
        <f ca="1">IFERROR(__xludf.DUMMYFUNCTION("""COMPUTED_VALUE"""),"МИНИМУМ")</f>
        <v>МИНИМУМ</v>
      </c>
      <c r="C602" s="4" t="str">
        <f ca="1">IFERROR(__xludf.DUMMYFUNCTION("""COMPUTED_VALUE"""),"SSY1-RTL15M-1C83")</f>
        <v>SSY1-RTL15M-1C83</v>
      </c>
      <c r="D602" s="4" t="str">
        <f ca="1">IFERROR(__xludf.DUMMYFUNCTION("""COMPUTED_VALUE"""),"Продление подписки на обновления 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беспроводной"&amp;"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опер"&amp;"ации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сбор штрихкодов, инвентаризация, просмотр товаров, настройка, проверка QR-кодов / возможности: информация о товаре на экране / нельзя изменять существующие операции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602" s="4" t="str">
        <f ca="1">IFERROR(__xludf.DUMMYFUNCTION("""COMPUTED_VALUE"""),"Продление подписки на обновления 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МИНИМУМ для конфигурации на базе «1С:Предприятия 8.3», для самостоятельной разработки и интеграции обмена с учетной системой, для работы с товаром по штрихкодам  на 1 (один) год</v>
      </c>
      <c r="F602" s="5">
        <f ca="1">IFERROR(__xludf.DUMMYFUNCTION("""COMPUTED_VALUE"""),1090)</f>
        <v>1090</v>
      </c>
    </row>
    <row r="603" spans="1:6" ht="72" customHeight="1" x14ac:dyDescent="0.2">
      <c r="A603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3" s="4" t="str">
        <f ca="1">IFERROR(__xludf.DUMMYFUNCTION("""COMPUTED_VALUE"""),"БАЗОВЫЙ")</f>
        <v>БАЗОВЫЙ</v>
      </c>
      <c r="C603" s="4" t="str">
        <f ca="1">IFERROR(__xludf.DUMMYFUNCTION("""COMPUTED_VALUE"""),"SSY1-RTL15A-1C83")</f>
        <v>SSY1-RTL15A-1C83</v>
      </c>
      <c r="D603" s="4" t="str">
        <f ca="1">IFERROR(__xludf.DUMMYFUNCTION("""COMPUTED_VALUE"""),"Продление подписки на обновления 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беспроводной"&amp;"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QR-ко"&amp;"дов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Интер"&amp;"нет на 1 (один) год")</f>
        <v>Продление подписки на обновления 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3" s="4" t="str">
        <f ca="1">IFERROR(__xludf.DUMMYFUNCTION("""COMPUTED_VALUE"""),"Продление подписки на обновления 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БАЗОВЫЙ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 на 1 (один) год</v>
      </c>
      <c r="F603" s="5">
        <f ca="1">IFERROR(__xludf.DUMMYFUNCTION("""COMPUTED_VALUE"""),2130)</f>
        <v>2130</v>
      </c>
    </row>
    <row r="604" spans="1:6" ht="72" customHeight="1" x14ac:dyDescent="0.2">
      <c r="A604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4" s="4" t="str">
        <f ca="1">IFERROR(__xludf.DUMMYFUNCTION("""COMPUTED_VALUE"""),"РАСШИРЕННЫЙ")</f>
        <v>РАСШИРЕННЫЙ</v>
      </c>
      <c r="C604" s="4" t="str">
        <f ca="1">IFERROR(__xludf.DUMMYFUNCTION("""COMPUTED_VALUE"""),"SSY1-RTL15B-1C83")</f>
        <v>SSY1-RTL15B-1C83</v>
      </c>
      <c r="D604" s="4" t="str">
        <f ca="1">IFERROR(__xludf.DUMMYFUNCTION("""COMPUTED_VALUE"""),"Продление подписки на обновления 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беспрово"&amp;"дной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Q"&amp;"R-кодов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И"&amp;"нтернет на 1 (один) год")</f>
        <v>Продление подписки на обновления 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4" s="4" t="str">
        <f ca="1">IFERROR(__xludf.DUMMYFUNCTION("""COMPUTED_VALUE"""),"Продление подписки на обновления 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РАСШИРЕННЫЙ для конфигурации на базе «1С:Предприятия 8.3», для самостоятельной разработки и интеграции обмена с учетной системой, для работы с товаром по штрихкодам  на 1 (один) год</v>
      </c>
      <c r="F604" s="5">
        <f ca="1">IFERROR(__xludf.DUMMYFUNCTION("""COMPUTED_VALUE"""),3410)</f>
        <v>3410</v>
      </c>
    </row>
    <row r="605" spans="1:6" ht="72" customHeight="1" x14ac:dyDescent="0.2">
      <c r="A605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5" s="4" t="str">
        <f ca="1">IFERROR(__xludf.DUMMYFUNCTION("""COMPUTED_VALUE"""),"МЕГАМАРКЕТ")</f>
        <v>МЕГАМАРКЕТ</v>
      </c>
      <c r="C605" s="4" t="str">
        <f ca="1">IFERROR(__xludf.DUMMYFUNCTION("""COMPUTED_VALUE"""),"SSY1-RTL15C-1C83")</f>
        <v>SSY1-RTL15C-1C83</v>
      </c>
      <c r="D605" s="4" t="str">
        <f ca="1">IFERROR(__xludf.DUMMYFUNCTION("""COMPUTED_VALUE"""),"Продление подписки на обновления 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беспровод"&amp;"ной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QR"&amp;"-кодов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обновл"&amp;"ения и обмен через Интернет на 1 (один) год")</f>
        <v>Продление подписки на обновления 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/ на выбор проводной, беспроводной или обмен через Интернет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5" s="4" t="str">
        <f ca="1">IFERROR(__xludf.DUMMYFUNCTION("""COMPUTED_VALUE"""),"Продление подписки на обновления 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 на 1 (один) год")</f>
        <v>Продление подписки на обновления Mobile SMARTS: Магазин 15, МЕГАМАРКЕТ для конфигурации на базе «1С:Предприятия 8.3», для самостоятельной разработки и интеграции обмена с учетной системой, для работы с товаром по штрихкодам  на 1 (один) год</v>
      </c>
      <c r="F605" s="5">
        <f ca="1">IFERROR(__xludf.DUMMYFUNCTION("""COMPUTED_VALUE"""),4710)</f>
        <v>4710</v>
      </c>
    </row>
    <row r="606" spans="1:6" ht="72" customHeight="1" x14ac:dyDescent="0.2">
      <c r="A606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6" s="4" t="str">
        <f ca="1">IFERROR(__xludf.DUMMYFUNCTION("""COMPUTED_VALUE"""),"с ЕГАИС, БАЗОВЫЙ")</f>
        <v>с ЕГАИС, БАЗОВЫЙ</v>
      </c>
      <c r="C606" s="4" t="str">
        <f ca="1">IFERROR(__xludf.DUMMYFUNCTION("""COMPUTED_VALUE"""),"SSY1-RTL15AE-1C83")</f>
        <v>SSY1-RTL15AE-1C83</v>
      </c>
      <c r="D606" s="4" t="str">
        <f ca="1">IFERROR(__xludf.DUMMYFUNCTION("""COMPUTED_VALUE"""),"Продление подписки на обновления 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п"&amp;"о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инвентаризация"&amp;",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"&amp;"лицензия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бессрочная лицензия на 1 (одно) моб. устройство, подписка на обновления и обмен через Интернет на 1 (один) год</v>
      </c>
      <c r="E606" s="4" t="str">
        <f ca="1">IFERROR(__xludf.DUMMYFUNCTION("""COMPUTED_VALUE"""),"Продление подписки на обновления 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п"&amp;"о штрихкодам  на 1 (один) год")</f>
        <v>Продление подписки на обновления Mobile SMARTS: Магазин 15 с ЕГАИС,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606" s="5">
        <f ca="1">IFERROR(__xludf.DUMMYFUNCTION("""COMPUTED_VALUE"""),2600)</f>
        <v>2600</v>
      </c>
    </row>
    <row r="607" spans="1:6" ht="72" customHeight="1" x14ac:dyDescent="0.2">
      <c r="A607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7" s="4" t="str">
        <f ca="1">IFERROR(__xludf.DUMMYFUNCTION("""COMPUTED_VALUE"""),"с ЕГАИС, РАСШИРЕННЫЙ")</f>
        <v>с ЕГАИС, РАСШИРЕННЫЙ</v>
      </c>
      <c r="C607" s="4" t="str">
        <f ca="1">IFERROR(__xludf.DUMMYFUNCTION("""COMPUTED_VALUE"""),"SSY1-RTL15BE-1C83")</f>
        <v>SSY1-RTL15BE-1C83</v>
      </c>
      <c r="D607" s="4" t="str">
        <f ca="1">IFERROR(__xludf.DUMMYFUNCTION("""COMPUTED_VALUE"""),"Продление подписки на обновления 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това"&amp;"ры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инвентариз"&amp;"ация,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н"&amp;"а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7" s="4" t="str">
        <f ca="1">IFERROR(__xludf.DUMMYFUNCTION("""COMPUTED_VALUE"""),"Продление подписки на обновления 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това"&amp;"ры по штрихкодам  на 1 (один) год")</f>
        <v>Продление подписки на обновления Mobile SMARTS: Магазин 15 с ЕГАИС,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607" s="5">
        <f ca="1">IFERROR(__xludf.DUMMYFUNCTION("""COMPUTED_VALUE"""),3890)</f>
        <v>3890</v>
      </c>
    </row>
    <row r="608" spans="1:6" ht="72" customHeight="1" x14ac:dyDescent="0.2">
      <c r="A608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8" s="4" t="str">
        <f ca="1">IFERROR(__xludf.DUMMYFUNCTION("""COMPUTED_VALUE"""),"с ЕГАИС (без CheckMark2), МЕГАМАРКЕТ")</f>
        <v>с ЕГАИС (без CheckMark2), МЕГАМАРКЕТ</v>
      </c>
      <c r="C608" s="4" t="str">
        <f ca="1">IFERROR(__xludf.DUMMYFUNCTION("""COMPUTED_VALUE"""),"SSY1-RTL15CEV-1C83")</f>
        <v>SSY1-RTL15CEV-1C83</v>
      </c>
      <c r="D608" s="4" t="str">
        <f ca="1">IFERROR(__xludf.DUMMYFUNCTION("""COMPUTED_VALUE"""),"Продление подписки на обновления 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алког"&amp;"оль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переоц"&amp;"енка,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возм"&amp;"ожность добавлять 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справочников, проверка QR-кодов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8" s="4" t="str">
        <f ca="1">IFERROR(__xludf.DUMMYFUNCTION("""COMPUTED_VALUE"""),"Продление подписки на обновления 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алког"&amp;"оль ЕГАИС и товары по штрихкодам  на 1 (один) год")</f>
        <v>Продление подписки на обновления Mobile SMARTS: Магазин 15 с ЕГАИС (без CheckMark2),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 ЕГАИС и товары по штрихкодам  на 1 (один) год</v>
      </c>
      <c r="F608" s="5">
        <f ca="1">IFERROR(__xludf.DUMMYFUNCTION("""COMPUTED_VALUE"""),5170)</f>
        <v>5170</v>
      </c>
    </row>
    <row r="609" spans="1:6" ht="72" customHeight="1" x14ac:dyDescent="0.2">
      <c r="A609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09" s="4" t="str">
        <f ca="1">IFERROR(__xludf.DUMMYFUNCTION("""COMPUTED_VALUE"""),"с МОТП, БАЗОВЫЙ")</f>
        <v>с МОТП, БАЗОВЫЙ</v>
      </c>
      <c r="C609" s="4" t="str">
        <f ca="1">IFERROR(__xludf.DUMMYFUNCTION("""COMPUTED_VALUE"""),"SSY1-RTL15AT-1C83")</f>
        <v>SSY1-RTL15AT-1C83</v>
      </c>
      <c r="D609" s="4" t="str">
        <f ca="1">IFERROR(__xludf.DUMMYFUNCTION("""COMPUTED_VALUE"""),"Продление подписки на обновления 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штрихкод"&amp;"ам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бессрочная"&amp;"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09" s="4" t="str">
        <f ca="1">IFERROR(__xludf.DUMMYFUNCTION("""COMPUTED_VALUE"""),"Продление подписки на обновления 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штрихкод"&amp;"ам  на 1 (один) год")</f>
        <v>Продление подписки на обновления Mobile SMARTS: Магазин 15 с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609" s="5">
        <f ca="1">IFERROR(__xludf.DUMMYFUNCTION("""COMPUTED_VALUE"""),2630)</f>
        <v>2630</v>
      </c>
    </row>
    <row r="610" spans="1:6" ht="72" customHeight="1" x14ac:dyDescent="0.2">
      <c r="A610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0" s="4" t="str">
        <f ca="1">IFERROR(__xludf.DUMMYFUNCTION("""COMPUTED_VALUE"""),"с МОТП, РАСШИРЕННЫЙ")</f>
        <v>с МОТП, РАСШИРЕННЫЙ</v>
      </c>
      <c r="C610" s="4" t="str">
        <f ca="1">IFERROR(__xludf.DUMMYFUNCTION("""COMPUTED_VALUE"""),"SSY1-RTL15BT-1C83")</f>
        <v>SSY1-RTL15BT-1C83</v>
      </c>
      <c r="D610" s="4" t="str">
        <f ca="1">IFERROR(__xludf.DUMMYFUNCTION("""COMPUTED_VALUE"""),"Продление подписки на обновления 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штри"&amp;"хкодам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бессро"&amp;"чная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0" s="4" t="str">
        <f ca="1">IFERROR(__xludf.DUMMYFUNCTION("""COMPUTED_VALUE"""),"Продление подписки на обновления 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штри"&amp;"хкодам  на 1 (один) год")</f>
        <v>Продление подписки на обновления Mobile SMARTS: Магазин 15 с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610" s="5">
        <f ca="1">IFERROR(__xludf.DUMMYFUNCTION("""COMPUTED_VALUE"""),3890)</f>
        <v>3890</v>
      </c>
    </row>
    <row r="611" spans="1:6" ht="72" customHeight="1" x14ac:dyDescent="0.2">
      <c r="A611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1" s="4" t="str">
        <f ca="1">IFERROR(__xludf.DUMMYFUNCTION("""COMPUTED_VALUE"""),"с МОТП, МЕГАМАРКЕТ")</f>
        <v>с МОТП, МЕГАМАРКЕТ</v>
      </c>
      <c r="C611" s="4" t="str">
        <f ca="1">IFERROR(__xludf.DUMMYFUNCTION("""COMPUTED_VALUE"""),"SSY1-RTL15CT-1C83")</f>
        <v>SSY1-RTL15CT-1C83</v>
      </c>
      <c r="D611" s="4" t="str">
        <f ca="1">IFERROR(__xludf.DUMMYFUNCTION("""COMPUTED_VALUE"""),"Продление подписки на обновления 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штрих"&amp;"кодам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по"&amp;"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св"&amp;"ои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1" s="4" t="str">
        <f ca="1">IFERROR(__xludf.DUMMYFUNCTION("""COMPUTED_VALUE"""),"Продление подписки на обновления 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штрих"&amp;"кодам  на 1 (один) год")</f>
        <v>Продление подписки на обновления Mobile SMARTS: Магазин 15 с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ТАБАК и товары по штрихкодам  на 1 (один) год</v>
      </c>
      <c r="F611" s="5">
        <f ca="1">IFERROR(__xludf.DUMMYFUNCTION("""COMPUTED_VALUE"""),5170)</f>
        <v>5170</v>
      </c>
    </row>
    <row r="612" spans="1:6" ht="72" customHeight="1" x14ac:dyDescent="0.2">
      <c r="A612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2" s="4" t="str">
        <f ca="1">IFERROR(__xludf.DUMMYFUNCTION("""COMPUTED_VALUE"""),"с ЕГАИС и МОТП, БАЗОВЫЙ")</f>
        <v>с ЕГАИС и МОТП, БАЗОВЫЙ</v>
      </c>
      <c r="C612" s="4" t="str">
        <f ca="1">IFERROR(__xludf.DUMMYFUNCTION("""COMPUTED_VALUE"""),"SSY1-RTL15AET-1C83")</f>
        <v>SSY1-RTL15AET-1C83</v>
      </c>
      <c r="D612" s="4" t="str">
        <f ca="1">IFERROR(__xludf.DUMMYFUNCTION("""COMPUTED_VALUE"""),"Продление подписки на обновления 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"&amp;"товары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"&amp;"с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(один)"&amp;" год")</f>
        <v>Продление подписки на обновления 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2" s="4" t="str">
        <f ca="1">IFERROR(__xludf.DUMMYFUNCTION("""COMPUTED_VALUE"""),"Продление подписки на обновления 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"&amp;"товары по штрихкодам  на 1 (один) год")</f>
        <v>Продление подписки на обновления Mobile SMARTS: Магазин 15 с ЕГАИС и МОТП,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612" s="5">
        <f ca="1">IFERROR(__xludf.DUMMYFUNCTION("""COMPUTED_VALUE"""),2830)</f>
        <v>2830</v>
      </c>
    </row>
    <row r="613" spans="1:6" ht="72" customHeight="1" x14ac:dyDescent="0.2">
      <c r="A613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3" s="4" t="str">
        <f ca="1">IFERROR(__xludf.DUMMYFUNCTION("""COMPUTED_VALUE"""),"с ЕГАИС и МОТП, РАСШИРЕННЫЙ")</f>
        <v>с ЕГАИС и МОТП, РАСШИРЕННЫЙ</v>
      </c>
      <c r="C613" s="4" t="str">
        <f ca="1">IFERROR(__xludf.DUMMYFUNCTION("""COMPUTED_VALUE"""),"SSY1-RTL15BET-1C83")</f>
        <v>SSY1-RTL15BET-1C83</v>
      </c>
      <c r="D613" s="4" t="str">
        <f ca="1">IFERROR(__xludf.DUMMYFUNCTION("""COMPUTED_VALUE"""),"Продление подписки на обновления 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ТАБА"&amp;"К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т"&amp;".ч.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возмо"&amp;"жности: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(о"&amp;"дин) год")</f>
        <v>Продление подписки на обновления 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3" s="4" t="str">
        <f ca="1">IFERROR(__xludf.DUMMYFUNCTION("""COMPUTED_VALUE"""),"Продление подписки на обновления 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ТАБА"&amp;"К и товары по штрихкодам  на 1 (один) год")</f>
        <v>Продление подписки на обновления Mobile SMARTS: Магазин 15 с ЕГАИС и МОТП,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613" s="5">
        <f ca="1">IFERROR(__xludf.DUMMYFUNCTION("""COMPUTED_VALUE"""),4110)</f>
        <v>4110</v>
      </c>
    </row>
    <row r="614" spans="1:6" ht="72" customHeight="1" x14ac:dyDescent="0.2">
      <c r="A614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4" s="4" t="str">
        <f ca="1">IFERROR(__xludf.DUMMYFUNCTION("""COMPUTED_VALUE"""),"с ЕГАИС и МОТП, МЕГАМАРКЕТ")</f>
        <v>с ЕГАИС и МОТП, МЕГАМАРКЕТ</v>
      </c>
      <c r="C614" s="4" t="str">
        <f ca="1">IFERROR(__xludf.DUMMYFUNCTION("""COMPUTED_VALUE"""),"SSY1-RTL15CET-1C83")</f>
        <v>SSY1-RTL15CET-1C83</v>
      </c>
      <c r="D614" s="4" t="str">
        <f ca="1">IFERROR(__xludf.DUMMYFUNCTION("""COMPUTED_VALUE"""),"Продление подписки на обновления 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ТАБАК"&amp;"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т."&amp;"ч.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возмож"&amp;"ности: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че"&amp;"рез Интернет на 1 (один) год")</f>
        <v>Продление подписки на обновления 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/ на выбор проводной, беспроводной или обмен через Интернет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4" s="4" t="str">
        <f ca="1">IFERROR(__xludf.DUMMYFUNCTION("""COMPUTED_VALUE"""),"Продление подписки на обновления 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ТАБАК"&amp;" и товары по штрихкодам  на 1 (один) год")</f>
        <v>Продление подписки на обновления Mobile SMARTS: Магазин 15 с ЕГАИС и МОТП,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АЛКОГОЛЬ, ТАБАК и товары по штрихкодам  на 1 (один) год</v>
      </c>
      <c r="F614" s="5">
        <f ca="1">IFERROR(__xludf.DUMMYFUNCTION("""COMPUTED_VALUE"""),5670)</f>
        <v>5670</v>
      </c>
    </row>
    <row r="615" spans="1:6" ht="72" customHeight="1" x14ac:dyDescent="0.2">
      <c r="A615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5" s="4" t="str">
        <f ca="1">IFERROR(__xludf.DUMMYFUNCTION("""COMPUTED_VALUE"""),"ШМОТКИ, БАЗОВЫЙ")</f>
        <v>ШМОТКИ, БАЗОВЫЙ</v>
      </c>
      <c r="C615" s="4" t="str">
        <f ca="1">IFERROR(__xludf.DUMMYFUNCTION("""COMPUTED_VALUE"""),"SSY1-RTL15AK-1C83")</f>
        <v>SSY1-RTL15AK-1C83</v>
      </c>
      <c r="D615" s="4" t="str">
        <f ca="1">IFERROR(__xludf.DUMMYFUNCTION("""COMPUTED_VALUE"""),"Продление подписки на обновления 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ШИН"&amp;"Ы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"&amp;"(в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свои"&amp;"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5" s="4" t="str">
        <f ca="1">IFERROR(__xludf.DUMMYFUNCTION("""COMPUTED_VALUE"""),"Продление подписки на обновления 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ШИН"&amp;"Ы и товары по штрихкодам  на 1 (один) год")</f>
        <v>Продление подписки на обновления Mobile SMARTS: Магазин 15 ШМОТКИ, БАЗОВЫЙ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 на 1 (один) год</v>
      </c>
      <c r="F615" s="5">
        <f ca="1">IFERROR(__xludf.DUMMYFUNCTION("""COMPUTED_VALUE"""),2830)</f>
        <v>2830</v>
      </c>
    </row>
    <row r="616" spans="1:6" ht="72" customHeight="1" x14ac:dyDescent="0.2">
      <c r="A616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6" s="4" t="str">
        <f ca="1">IFERROR(__xludf.DUMMYFUNCTION("""COMPUTED_VALUE"""),"ШМОТКИ, РАСШИРЕННЫЙ")</f>
        <v>ШМОТКИ, РАСШИРЕННЫЙ</v>
      </c>
      <c r="C616" s="4" t="str">
        <f ca="1">IFERROR(__xludf.DUMMYFUNCTION("""COMPUTED_VALUE"""),"SSY1-RTL15BK-1C83")</f>
        <v>SSY1-RTL15BK-1C83</v>
      </c>
      <c r="D616" s="4" t="str">
        <f ca="1">IFERROR(__xludf.DUMMYFUNCTION("""COMPUTED_VALUE"""),"Продление подписки на обновления 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ПАРФЮМ,"&amp;"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зак"&amp;"аза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"&amp;"свои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6" s="4" t="str">
        <f ca="1">IFERROR(__xludf.DUMMYFUNCTION("""COMPUTED_VALUE"""),"Продление подписки на обновления 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ПАРФЮМ,"&amp;" ШИНЫ и товары по штрихкодам  на 1 (один) год")</f>
        <v>Продление подписки на обновления Mobile SMARTS: Магазин 15 ШМОТКИ, РАСШИРЕННЫЙ для конфигурации на базе «1С:Предприятия 8.3», для самостоятельной разработки и интеграции обмена с учетной системой, для работы с маркированным товаром: ОБУВЬ, ОДЕЖДА, ПАРФЮМ, ШИНЫ и товары по штрихкодам  на 1 (один) год</v>
      </c>
      <c r="F616" s="5">
        <f ca="1">IFERROR(__xludf.DUMMYFUNCTION("""COMPUTED_VALUE"""),4110)</f>
        <v>4110</v>
      </c>
    </row>
    <row r="617" spans="1:6" ht="72" customHeight="1" x14ac:dyDescent="0.2">
      <c r="A617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7" s="4" t="str">
        <f ca="1">IFERROR(__xludf.DUMMYFUNCTION("""COMPUTED_VALUE"""),"ШМОТКИ, МЕГАМАРКЕТ")</f>
        <v>ШМОТКИ, МЕГАМАРКЕТ</v>
      </c>
      <c r="C617" s="4" t="str">
        <f ca="1">IFERROR(__xludf.DUMMYFUNCTION("""COMPUTED_VALUE"""),"SSY1-RTL15CK-1C83")</f>
        <v>SSY1-RTL15CK-1C83</v>
      </c>
      <c r="D617" s="4" t="str">
        <f ca="1">IFERROR(__xludf.DUMMYFUNCTION("""COMPUTED_VALUE"""),"Продление подписки на обновления 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штр"&amp;"ихкодам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"&amp;"по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"&amp;"свои операции / бессрочная лицензия на 1 (одно) моб. устройство, подписка на обновления и обмен через Интернет на 1 (один) год")</f>
        <v>Продление подписки на обновления 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/ на выбор проводной, беспроводной или обмен через Интернет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настройки, проверка QR-кодов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бессрочная лицензия на 1 (одно) моб. устройство, подписка на обновления и обмен через Интернет на 1 (один) год</v>
      </c>
      <c r="E617" s="4" t="str">
        <f ca="1">IFERROR(__xludf.DUMMYFUNCTION("""COMPUTED_VALUE"""),"Продление подписки на обновления 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штр"&amp;"ихкодам  на 1 (один) год")</f>
        <v>Продление подписки на обновления Mobile SMARTS: Магазин 15 ШМОТКИ, МЕГАМАРКЕТ для конфигурации на базе «1С:Предприятия 8.3», для самостоятельной разработки и интеграции обмена с учетной системой, для работы с маркированной ОБУВЬЮ, ОДЕЖДОЙ и товаром по штрихкодам  на 1 (один) год</v>
      </c>
      <c r="F617" s="5">
        <f ca="1">IFERROR(__xludf.DUMMYFUNCTION("""COMPUTED_VALUE"""),5670)</f>
        <v>5670</v>
      </c>
    </row>
    <row r="618" spans="1:6" ht="72" customHeight="1" x14ac:dyDescent="0.2">
      <c r="A618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8" s="4" t="str">
        <f ca="1">IFERROR(__xludf.DUMMYFUNCTION("""COMPUTED_VALUE"""),"с МДЛП, БАЗОВЫЙ")</f>
        <v>с МДЛП, БАЗОВЫЙ</v>
      </c>
      <c r="C618" s="4" t="str">
        <f ca="1">IFERROR(__xludf.DUMMYFUNCTION("""COMPUTED_VALUE"""),"SSY1-RTL15AL-1C83")</f>
        <v>SSY1-RTL15AL-1C83</v>
      </c>
      <c r="D618" s="4" t="str">
        <f ca="1">IFERROR(__xludf.DUMMYFUNCTION("""COMPUTED_VALUE"""),"Продление подписки на обновления Mobile SMARTS: Магазин 15 с МДЛП,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товаром"&amp;"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п"&amp;"еремещение,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1"&amp;" (один) год")</f>
        <v>Продление подписки на обновления Mobile SMARTS: Магазин 15 с МДЛП,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18" s="4" t="str">
        <f ca="1">IFERROR(__xludf.DUMMYFUNCTION("""COMPUTED_VALUE"""),"Продление подписки на обновления Mobile SMARTS: Магазин 15 с МДЛП, БАЗОВЫЙ для конфигурации на базе «1С:Предприятия 8.3»  на 1 (один) год")</f>
        <v>Продление подписки на обновления Mobile SMARTS: Магазин 15 с МДЛП, БАЗОВЫЙ для конфигурации на базе «1С:Предприятия 8.3»  на 1 (один) год</v>
      </c>
      <c r="F618" s="5">
        <f ca="1">IFERROR(__xludf.DUMMYFUNCTION("""COMPUTED_VALUE"""),2091.6)</f>
        <v>2091.6</v>
      </c>
    </row>
    <row r="619" spans="1:6" ht="72" customHeight="1" x14ac:dyDescent="0.2">
      <c r="A619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19" s="4" t="str">
        <f ca="1">IFERROR(__xludf.DUMMYFUNCTION("""COMPUTED_VALUE"""),"с МДЛП, РАСШИРЕННЫЙ")</f>
        <v>с МДЛП, РАСШИРЕННЫЙ</v>
      </c>
      <c r="C619" s="4" t="str">
        <f ca="1">IFERROR(__xludf.DUMMYFUNCTION("""COMPUTED_VALUE"""),"SSY1-RTL15BL-1C83")</f>
        <v>SSY1-RTL15BL-1C83</v>
      </c>
      <c r="D619" s="4" t="str">
        <f ca="1">IFERROR(__xludf.DUMMYFUNCTION("""COMPUTED_VALUE"""),"Продление подписки на обновления Mobile SMARTS: Магазин 15 с МДЛП,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тов"&amp;"аром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"&amp;"на 1 (один) год")</f>
        <v>Продление подписки на обновления Mobile SMARTS: Магазин 15 с МДЛП,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19" s="4" t="str">
        <f ca="1">IFERROR(__xludf.DUMMYFUNCTION("""COMPUTED_VALUE"""),"Продление подписки на обновления Mobile SMARTS: Магазин 15 с МДЛП, РАСШИРЕННЫЙ для конфигурации на базе «1С:Предприятия 8.3»  на 1 (один) год")</f>
        <v>Продление подписки на обновления Mobile SMARTS: Магазин 15 с МДЛП, РАСШИРЕННЫЙ для конфигурации на базе «1С:Предприятия 8.3»  на 1 (один) год</v>
      </c>
      <c r="F619" s="5">
        <f ca="1">IFERROR(__xludf.DUMMYFUNCTION("""COMPUTED_VALUE"""),3075.6)</f>
        <v>3075.6</v>
      </c>
    </row>
    <row r="620" spans="1:6" ht="72" customHeight="1" x14ac:dyDescent="0.2">
      <c r="A620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20" s="4" t="str">
        <f ca="1">IFERROR(__xludf.DUMMYFUNCTION("""COMPUTED_VALUE"""),"с МДЛП, МЕГАМАРКЕТ")</f>
        <v>с МДЛП, МЕГАМАРКЕТ</v>
      </c>
      <c r="C620" s="4" t="str">
        <f ca="1">IFERROR(__xludf.DUMMYFUNCTION("""COMPUTED_VALUE"""),"SSY1-RTL15CL-1C83")</f>
        <v>SSY1-RTL15CL-1C83</v>
      </c>
      <c r="D620" s="4" t="str">
        <f ca="1">IFERROR(__xludf.DUMMYFUNCTION("""COMPUTED_VALUE"""),"Продление подписки на обновления Mobile SMARTS: Магазин 15 с МДЛП,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това"&amp;"ром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КМ)"&amp;",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(од"&amp;"но) моб. устройство на 1 (один) год")</f>
        <v>Продление подписки на обновления Mobile SMARTS: Магазин 15 с МДЛП,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20" s="4" t="str">
        <f ca="1">IFERROR(__xludf.DUMMYFUNCTION("""COMPUTED_VALUE"""),"Продление подписки на обновления Mobile SMARTS: Магазин 15 с МДЛП, МЕГАМАРКЕТ для конфигурации на базе «1С:Предприятия 8.3»  на 1 (один) год")</f>
        <v>Продление подписки на обновления Mobile SMARTS: Магазин 15 с МДЛП, МЕГАМАРКЕТ для конфигурации на базе «1С:Предприятия 8.3»  на 1 (один) год</v>
      </c>
      <c r="F620" s="5">
        <f ca="1">IFERROR(__xludf.DUMMYFUNCTION("""COMPUTED_VALUE"""),4539.6)</f>
        <v>4539.6000000000004</v>
      </c>
    </row>
    <row r="621" spans="1:6" ht="72" customHeight="1" x14ac:dyDescent="0.2">
      <c r="A621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21" s="4" t="str">
        <f ca="1">IFERROR(__xludf.DUMMYFUNCTION("""COMPUTED_VALUE"""),"ПРОДУКТОВЫЙ, БАЗОВЫЙ")</f>
        <v>ПРОДУКТОВЫЙ, БАЗОВЫЙ</v>
      </c>
      <c r="C621" s="4" t="str">
        <f ca="1">IFERROR(__xludf.DUMMYFUNCTION("""COMPUTED_VALUE"""),"SSY1-RTL15AG-1C83")</f>
        <v>SSY1-RTL15AG-1C83</v>
      </c>
      <c r="D621" s="4" t="str">
        <f ca="1">IFERROR(__xludf.DUMMYFUNCTION("""COMPUTED_VALUE"""),"Продление подписки на обновления Mobile SMARTS: Магазин 15 ПРОДУКТОВЫЙ,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ТАБА"&amp;"К,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инв"&amp;"ентаризация,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настройк"&amp;"и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21" s="4" t="str">
        <f ca="1">IFERROR(__xludf.DUMMYFUNCTION("""COMPUTED_VALUE"""),"Продление подписки на обновления Mobile SMARTS: Магазин 15 ПРОДУКТОВЫЙ, БАЗОВЫЙ для конфигурации на базе «1С:Предприятия 8.3»  на 1 (один) год")</f>
        <v>Продление подписки на обновления Mobile SMARTS: Магазин 15 ПРОДУКТОВЫЙ, БАЗОВЫЙ для конфигурации на базе «1С:Предприятия 8.3»  на 1 (один) год</v>
      </c>
      <c r="F621" s="5">
        <f ca="1">IFERROR(__xludf.DUMMYFUNCTION("""COMPUTED_VALUE"""),2631.6)</f>
        <v>2631.6</v>
      </c>
    </row>
    <row r="622" spans="1:6" ht="72" customHeight="1" x14ac:dyDescent="0.2">
      <c r="A622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22" s="4" t="str">
        <f ca="1">IFERROR(__xludf.DUMMYFUNCTION("""COMPUTED_VALUE"""),"ПРОДУКТОВЫЙ, РАСШИРЕННЫЙ")</f>
        <v>ПРОДУКТОВЫЙ, РАСШИРЕННЫЙ</v>
      </c>
      <c r="C622" s="4" t="str">
        <f ca="1">IFERROR(__xludf.DUMMYFUNCTION("""COMPUTED_VALUE"""),"SSY1-RTL15BG-1C83")</f>
        <v>SSY1-RTL15BG-1C83</v>
      </c>
      <c r="D622" s="4" t="str">
        <f ca="1">IFERROR(__xludf.DUMMYFUNCTION("""COMPUTED_VALUE"""),"Продление подписки на обновления Mobile SMARTS: Магазин 15 ПРОДУКТОВЫЙ,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"&amp;"ТАБАК,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КМ),"&amp;"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наст"&amp;"ройки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22" s="4" t="str">
        <f ca="1">IFERROR(__xludf.DUMMYFUNCTION("""COMPUTED_VALUE"""),"Продление подписки на обновления Mobile SMARTS: Магазин 15 ПРОДУКТОВЫЙ, РАСШИРЕННЫЙ для конфигурации на базе «1С:Предприятия 8.3»  на 1 (один) год")</f>
        <v>Продление подписки на обновления Mobile SMARTS: Магазин 15 ПРОДУКТОВЫЙ, РАСШИРЕННЫЙ для конфигурации на базе «1С:Предприятия 8.3»  на 1 (один) год</v>
      </c>
      <c r="F622" s="5">
        <f ca="1">IFERROR(__xludf.DUMMYFUNCTION("""COMPUTED_VALUE"""),3615.6)</f>
        <v>3615.6</v>
      </c>
    </row>
    <row r="623" spans="1:6" ht="72" customHeight="1" x14ac:dyDescent="0.2">
      <c r="A623" s="4" t="str">
        <f ca="1">IFERROR(__xludf.DUMMYFUNCTION("""COMPUTED_VALUE"""),"конфигурации на базе «1С:Предприятия 8.3»")</f>
        <v>конфигурации на базе «1С:Предприятия 8.3»</v>
      </c>
      <c r="B623" s="4" t="str">
        <f ca="1">IFERROR(__xludf.DUMMYFUNCTION("""COMPUTED_VALUE"""),"ПРОДУКТОВЫЙ, МЕГАМАРКЕТ")</f>
        <v>ПРОДУКТОВЫЙ, МЕГАМАРКЕТ</v>
      </c>
      <c r="C623" s="4" t="str">
        <f ca="1">IFERROR(__xludf.DUMMYFUNCTION("""COMPUTED_VALUE"""),"SSY1-RTL15CG-1C83")</f>
        <v>SSY1-RTL15CG-1C83</v>
      </c>
      <c r="D623" s="4" t="str">
        <f ca="1">IFERROR(__xludf.DUMMYFUNCTION("""COMPUTED_VALUE"""),"Продление подписки на обновления Mobile SMARTS: Магазин 15 ПРОДУКТОВЫЙ,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Т"&amp;"АБАК,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"&amp;"инвентаризация,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настр"&amp;"ойки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МЕГАМАРКЕТ для конфигурации на базе «1С:Предприятия 8.3»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23" s="4" t="str">
        <f ca="1">IFERROR(__xludf.DUMMYFUNCTION("""COMPUTED_VALUE"""),"Продление подписки на обновления Mobile SMARTS: Магазин 15 ПРОДУКТОВЫЙ, МЕГАМАРКЕТ для конфигурации на базе «1С:Предприятия 8.3»  на 1 (один) год")</f>
        <v>Продление подписки на обновления Mobile SMARTS: Магазин 15 ПРОДУКТОВЫЙ, МЕГАМАРКЕТ для конфигурации на базе «1С:Предприятия 8.3»  на 1 (один) год</v>
      </c>
      <c r="F623" s="5">
        <f ca="1">IFERROR(__xludf.DUMMYFUNCTION("""COMPUTED_VALUE"""),6033.8)</f>
        <v>6033.8</v>
      </c>
    </row>
    <row r="624" spans="1:6" ht="72" customHeight="1" x14ac:dyDescent="0.2">
      <c r="A624" s="4"/>
      <c r="B624" s="4"/>
      <c r="C624" s="4" t="str">
        <f ca="1">IFERROR(__xludf.DUMMYFUNCTION("""COMPUTED_VALUE"""),"SSY1-")</f>
        <v>SSY1-</v>
      </c>
      <c r="D624" s="4" t="str">
        <f ca="1">IFERROR(__xludf.DUMMYFUNCTION("""COMPUTED_VALUE"""),"Продление подписки на обновления Лицензии не для 1С (самописки, SAP, Axapta и др.) (+2000р)")</f>
        <v>Продление подписки на обновления Лицензии не для 1С (самописки, SAP, Axapta и др.) (+2000р)</v>
      </c>
      <c r="E624" s="4" t="str">
        <f ca="1">IFERROR(__xludf.DUMMYFUNCTION("""COMPUTED_VALUE"""),"#VALUE!")</f>
        <v>#VALUE!</v>
      </c>
      <c r="F624" s="4" t="str">
        <f ca="1">IFERROR(__xludf.DUMMYFUNCTION("""COMPUTED_VALUE"""),"#N/A")</f>
        <v>#N/A</v>
      </c>
    </row>
    <row r="625" spans="1:6" ht="72" customHeight="1" x14ac:dyDescent="0.2">
      <c r="A625" s="4" t="str">
        <f ca="1">IFERROR(__xludf.DUMMYFUNCTION("""COMPUTED_VALUE"""),"интеграции через OLE/COM")</f>
        <v>интеграции через OLE/COM</v>
      </c>
      <c r="B625" s="4" t="str">
        <f ca="1">IFERROR(__xludf.DUMMYFUNCTION("""COMPUTED_VALUE"""),"МИНИМУМ")</f>
        <v>МИНИМУМ</v>
      </c>
      <c r="C625" s="4" t="str">
        <f ca="1">IFERROR(__xludf.DUMMYFUNCTION("""COMPUTED_VALUE"""),"SSY1-RTL15M-OLE")</f>
        <v>SSY1-RTL15M-OLE</v>
      </c>
      <c r="D625" s="4" t="str">
        <f ca="1">IFERROR(__xludf.DUMMYFUNCTION("""COMPUTED_VALUE"""),"Продление подписки на обновления Mobile SMARTS: Магазин 15, МИНИМУМ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"&amp;"онлайна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(один) год")</f>
        <v>Продление подписки на обновления Mobile SMARTS: Магазин 15, МИНИМУМ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(один) год</v>
      </c>
      <c r="E625" s="4" t="str">
        <f ca="1">IFERROR(__xludf.DUMMYFUNCTION("""COMPUTED_VALUE"""),"Продление подписки на обновления Mobile SMARTS: Магазин 15, МИНИМУМ для интеграции через OLE/COM  на 1 (один) год")</f>
        <v>Продление подписки на обновления Mobile SMARTS: Магазин 15, МИНИМУМ для интеграции через OLE/COM  на 1 (один) год</v>
      </c>
      <c r="F625" s="5">
        <f ca="1">IFERROR(__xludf.DUMMYFUNCTION("""COMPUTED_VALUE"""),1090)</f>
        <v>1090</v>
      </c>
    </row>
    <row r="626" spans="1:6" ht="72" customHeight="1" x14ac:dyDescent="0.2">
      <c r="A626" s="4" t="str">
        <f ca="1">IFERROR(__xludf.DUMMYFUNCTION("""COMPUTED_VALUE"""),"интеграции через OLE/COM")</f>
        <v>интеграции через OLE/COM</v>
      </c>
      <c r="B626" s="4" t="str">
        <f ca="1">IFERROR(__xludf.DUMMYFUNCTION("""COMPUTED_VALUE"""),"БАЗОВЫЙ")</f>
        <v>БАЗОВЫЙ</v>
      </c>
      <c r="C626" s="4" t="str">
        <f ca="1">IFERROR(__xludf.DUMMYFUNCTION("""COMPUTED_VALUE"""),"SSY1-RTL15A-OLE")</f>
        <v>SSY1-RTL15A-OLE</v>
      </c>
      <c r="D626" s="4" t="str">
        <f ca="1">IFERROR(__xludf.DUMMYFUNCTION("""COMPUTED_VALUE"""),"Продление подписки на обновления Mobile SMARTS: Магазин 15, БАЗОВЫЙ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"&amp;"онлайна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ко"&amp;"нтрагентах,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БАЗОВЫЙ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26" s="4" t="str">
        <f ca="1">IFERROR(__xludf.DUMMYFUNCTION("""COMPUTED_VALUE"""),"Продление подписки на обновления Mobile SMARTS: Магазин 15, БАЗОВЫЙ для интеграции через OLE/COM  на 1 (один) год")</f>
        <v>Продление подписки на обновления Mobile SMARTS: Магазин 15, БАЗОВЫЙ для интеграции через OLE/COM  на 1 (один) год</v>
      </c>
      <c r="F626" s="5">
        <f ca="1">IFERROR(__xludf.DUMMYFUNCTION("""COMPUTED_VALUE"""),2130)</f>
        <v>2130</v>
      </c>
    </row>
    <row r="627" spans="1:6" ht="72" customHeight="1" x14ac:dyDescent="0.2">
      <c r="A627" s="4" t="str">
        <f ca="1">IFERROR(__xludf.DUMMYFUNCTION("""COMPUTED_VALUE"""),"интеграции через OLE/COM")</f>
        <v>интеграции через OLE/COM</v>
      </c>
      <c r="B627" s="4" t="str">
        <f ca="1">IFERROR(__xludf.DUMMYFUNCTION("""COMPUTED_VALUE"""),"РАСШИРЕННЫЙ")</f>
        <v>РАСШИРЕННЫЙ</v>
      </c>
      <c r="C627" s="4" t="str">
        <f ca="1">IFERROR(__xludf.DUMMYFUNCTION("""COMPUTED_VALUE"""),"SSY1-RTL15B-OLE")</f>
        <v>SSY1-RTL15B-OLE</v>
      </c>
      <c r="D627" s="4" t="str">
        <f ca="1">IFERROR(__xludf.DUMMYFUNCTION("""COMPUTED_VALUE"""),"Продление подписки на обновления Mobile SMARTS: Магазин 15, РАСШИРЕННЫЙ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"&amp;"есть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складах"&amp;",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РАСШИРЕННЫЙ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27" s="4" t="str">
        <f ca="1">IFERROR(__xludf.DUMMYFUNCTION("""COMPUTED_VALUE"""),"Продление подписки на обновления Mobile SMARTS: Магазин 15, РАСШИРЕННЫЙ для интеграции через OLE/COM  на 1 (один) год")</f>
        <v>Продление подписки на обновления Mobile SMARTS: Магазин 15, РАСШИРЕННЫЙ для интеграции через OLE/COM  на 1 (один) год</v>
      </c>
      <c r="F627" s="5">
        <f ca="1">IFERROR(__xludf.DUMMYFUNCTION("""COMPUTED_VALUE"""),3410)</f>
        <v>3410</v>
      </c>
    </row>
    <row r="628" spans="1:6" ht="72" customHeight="1" x14ac:dyDescent="0.2">
      <c r="A628" s="4" t="str">
        <f ca="1">IFERROR(__xludf.DUMMYFUNCTION("""COMPUTED_VALUE"""),"интеграции через OLE/COM")</f>
        <v>интеграции через OLE/COM</v>
      </c>
      <c r="B628" s="4" t="str">
        <f ca="1">IFERROR(__xludf.DUMMYFUNCTION("""COMPUTED_VALUE"""),"МЕГАМАРКЕТ")</f>
        <v>МЕГАМАРКЕТ</v>
      </c>
      <c r="C628" s="4" t="str">
        <f ca="1">IFERROR(__xludf.DUMMYFUNCTION("""COMPUTED_VALUE"""),"SSY1-RTL15C-OLE")</f>
        <v>SSY1-RTL15C-OLE</v>
      </c>
      <c r="D628" s="4" t="str">
        <f ca="1">IFERROR(__xludf.DUMMYFUNCTION("""COMPUTED_VALUE"""),"Продление подписки на обновления Mobile SMARTS: Магазин 15, МЕГАМАРКЕТ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е"&amp;"сть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информац"&amp;"ия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МЕГАМАРКЕТ для интеграции через OLE/COM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28" s="4" t="str">
        <f ca="1">IFERROR(__xludf.DUMMYFUNCTION("""COMPUTED_VALUE"""),"Продление подписки на обновления Mobile SMARTS: Магазин 15, МЕГАМАРКЕТ для интеграции через OLE/COM  на 1 (один) год")</f>
        <v>Продление подписки на обновления Mobile SMARTS: Магазин 15, МЕГАМАРКЕТ для интеграции через OLE/COM  на 1 (один) год</v>
      </c>
      <c r="F628" s="5">
        <f ca="1">IFERROR(__xludf.DUMMYFUNCTION("""COMPUTED_VALUE"""),4710)</f>
        <v>4710</v>
      </c>
    </row>
    <row r="629" spans="1:6" ht="72" customHeight="1" x14ac:dyDescent="0.2">
      <c r="A629" s="4" t="str">
        <f ca="1">IFERROR(__xludf.DUMMYFUNCTION("""COMPUTED_VALUE"""),"интеграции через OLE/COM")</f>
        <v>интеграции через OLE/COM</v>
      </c>
      <c r="B629" s="4" t="str">
        <f ca="1">IFERROR(__xludf.DUMMYFUNCTION("""COMPUTED_VALUE"""),"с ЕГАИС, БАЗОВЫЙ")</f>
        <v>с ЕГАИС, БАЗОВЫЙ</v>
      </c>
      <c r="C629" s="4" t="str">
        <f ca="1">IFERROR(__xludf.DUMMYFUNCTION("""COMPUTED_VALUE"""),"SSY1-RTL15AE-OLE")</f>
        <v>SSY1-RTL15AE-OLE</v>
      </c>
      <c r="D629" s="4" t="str">
        <f ca="1">IFERROR(__xludf.DUMMYFUNCTION("""COMPUTED_VALUE"""),"Продление подписки на обновления Mobile SMARTS: Магазин 15 с ЕГАИС, БАЗОВЫЙ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выбор"&amp;"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справочнико"&amp;"в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год")</f>
        <v>Продление подписки на обновления Mobile SMARTS: Магазин 15 с ЕГАИС, БАЗОВЫЙ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</v>
      </c>
      <c r="E629" s="4" t="str">
        <f ca="1">IFERROR(__xludf.DUMMYFUNCTION("""COMPUTED_VALUE"""),"Продление подписки на обновления Mobile SMARTS: Магазин 15 с ЕГАИС, БАЗОВЫЙ для интеграции через OLE/COM  на 1 (один) год")</f>
        <v>Продление подписки на обновления Mobile SMARTS: Магазин 15 с ЕГАИС, БАЗОВЫЙ для интеграции через OLE/COM  на 1 (один) год</v>
      </c>
      <c r="F629" s="5">
        <f ca="1">IFERROR(__xludf.DUMMYFUNCTION("""COMPUTED_VALUE"""),2600)</f>
        <v>2600</v>
      </c>
    </row>
    <row r="630" spans="1:6" ht="72" customHeight="1" x14ac:dyDescent="0.2">
      <c r="A630" s="4" t="str">
        <f ca="1">IFERROR(__xludf.DUMMYFUNCTION("""COMPUTED_VALUE"""),"интеграции через OLE/COM")</f>
        <v>интеграции через OLE/COM</v>
      </c>
      <c r="B630" s="4" t="str">
        <f ca="1">IFERROR(__xludf.DUMMYFUNCTION("""COMPUTED_VALUE"""),"с ЕГАИС, РАСШИРЕННЫЙ")</f>
        <v>с ЕГАИС, РАСШИРЕННЫЙ</v>
      </c>
      <c r="C630" s="4" t="str">
        <f ca="1">IFERROR(__xludf.DUMMYFUNCTION("""COMPUTED_VALUE"""),"SSY1-RTL15BE-OLE")</f>
        <v>SSY1-RTL15BE-OLE</v>
      </c>
      <c r="D630" s="4" t="str">
        <f ca="1">IFERROR(__xludf.DUMMYFUNCTION("""COMPUTED_VALUE"""),"Продление подписки на обновления Mobile SMARTS: Магазин 15 с ЕГАИС, РАСШИРЕННЫЙ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в"&amp;"ыбор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справоч"&amp;"ников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ЕГАИС, РАСШИРЕННЫЙ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0" s="4" t="str">
        <f ca="1">IFERROR(__xludf.DUMMYFUNCTION("""COMPUTED_VALUE"""),"Продление подписки на обновления Mobile SMARTS: Магазин 15 с ЕГАИС, РАСШИРЕННЫЙ для интеграции через OLE/COM  на 1 (один) год")</f>
        <v>Продление подписки на обновления Mobile SMARTS: Магазин 15 с ЕГАИС, РАСШИРЕННЫЙ для интеграции через OLE/COM  на 1 (один) год</v>
      </c>
      <c r="F630" s="5">
        <f ca="1">IFERROR(__xludf.DUMMYFUNCTION("""COMPUTED_VALUE"""),3890)</f>
        <v>3890</v>
      </c>
    </row>
    <row r="631" spans="1:6" ht="72" customHeight="1" x14ac:dyDescent="0.2">
      <c r="A631" s="4" t="str">
        <f ca="1">IFERROR(__xludf.DUMMYFUNCTION("""COMPUTED_VALUE"""),"интеграции через OLE/COM")</f>
        <v>интеграции через OLE/COM</v>
      </c>
      <c r="B631" s="4" t="str">
        <f ca="1">IFERROR(__xludf.DUMMYFUNCTION("""COMPUTED_VALUE"""),"с ЕГАИС (без CheckMark2), МЕГАМАРКЕТ")</f>
        <v>с ЕГАИС (без CheckMark2), МЕГАМАРКЕТ</v>
      </c>
      <c r="C631" s="4" t="str">
        <f ca="1">IFERROR(__xludf.DUMMYFUNCTION("""COMPUTED_VALUE"""),"SSY1-RTL15CEV-OLE")</f>
        <v>SSY1-RTL15CEV-OLE</v>
      </c>
      <c r="D631" s="4" t="str">
        <f ca="1">IFERROR(__xludf.DUMMYFUNCTION("""COMPUTED_VALUE"""),"Продление подписки на обновления Mobile SMARTS: Магазин 15 с ЕГАИС (без CheckMark2), МЕГАМАРКЕТ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ш"&amp;"трихкодам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"&amp;"просмотр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устрой"&amp;"ство на 1 (один) год")</f>
        <v>Продление подписки на обновления Mobile SMARTS: Магазин 15 с ЕГАИС (без CheckMark2), МЕГАМАРКЕТ для интеграции через OLE/COM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1" s="4" t="str">
        <f ca="1">IFERROR(__xludf.DUMMYFUNCTION("""COMPUTED_VALUE"""),"Продление подписки на обновления Mobile SMARTS: Магазин 15 с ЕГАИС (без CheckMark2), МЕГАМАРКЕТ для интеграции через OLE/COM  на 1 (один) год")</f>
        <v>Продление подписки на обновления Mobile SMARTS: Магазин 15 с ЕГАИС (без CheckMark2), МЕГАМАРКЕТ для интеграции через OLE/COM  на 1 (один) год</v>
      </c>
      <c r="F631" s="5">
        <f ca="1">IFERROR(__xludf.DUMMYFUNCTION("""COMPUTED_VALUE"""),5170)</f>
        <v>5170</v>
      </c>
    </row>
    <row r="632" spans="1:6" ht="72" customHeight="1" x14ac:dyDescent="0.2">
      <c r="A632" s="4" t="str">
        <f ca="1">IFERROR(__xludf.DUMMYFUNCTION("""COMPUTED_VALUE"""),"интеграции через OLE/COM")</f>
        <v>интеграции через OLE/COM</v>
      </c>
      <c r="B632" s="4" t="str">
        <f ca="1">IFERROR(__xludf.DUMMYFUNCTION("""COMPUTED_VALUE"""),"с МОТП, БАЗОВЫЙ")</f>
        <v>с МОТП, БАЗОВЫЙ</v>
      </c>
      <c r="C632" s="4" t="str">
        <f ca="1">IFERROR(__xludf.DUMMYFUNCTION("""COMPUTED_VALUE"""),"SSY1-RTL15AT-OLE")</f>
        <v>SSY1-RTL15AT-OLE</v>
      </c>
      <c r="D632" s="4" t="str">
        <f ca="1">IFERROR(__xludf.DUMMYFUNCTION("""COMPUTED_VALUE"""),"Продление подписки на обновления Mobile SMARTS: Магазин 15 с МОТП, БАЗОВЫЙ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проводно"&amp;"й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просм"&amp;"отр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БАЗОВЫЙ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2" s="4" t="str">
        <f ca="1">IFERROR(__xludf.DUMMYFUNCTION("""COMPUTED_VALUE"""),"Продление подписки на обновления Mobile SMARTS: Магазин 15 с МОТП, БАЗОВЫЙ для интеграции через OLE/COM  на 1 (один) год")</f>
        <v>Продление подписки на обновления Mobile SMARTS: Магазин 15 с МОТП, БАЗОВЫЙ для интеграции через OLE/COM  на 1 (один) год</v>
      </c>
      <c r="F632" s="5">
        <f ca="1">IFERROR(__xludf.DUMMYFUNCTION("""COMPUTED_VALUE"""),2630)</f>
        <v>2630</v>
      </c>
    </row>
    <row r="633" spans="1:6" ht="72" customHeight="1" x14ac:dyDescent="0.2">
      <c r="A633" s="4" t="str">
        <f ca="1">IFERROR(__xludf.DUMMYFUNCTION("""COMPUTED_VALUE"""),"интеграции через OLE/COM")</f>
        <v>интеграции через OLE/COM</v>
      </c>
      <c r="B633" s="4" t="str">
        <f ca="1">IFERROR(__xludf.DUMMYFUNCTION("""COMPUTED_VALUE"""),"с МОТП, РАСШИРЕННЫЙ")</f>
        <v>с МОТП, РАСШИРЕННЫЙ</v>
      </c>
      <c r="C633" s="4" t="str">
        <f ca="1">IFERROR(__xludf.DUMMYFUNCTION("""COMPUTED_VALUE"""),"SSY1-RTL15BT-OLE")</f>
        <v>SSY1-RTL15BT-OLE</v>
      </c>
      <c r="D633" s="4" t="str">
        <f ca="1">IFERROR(__xludf.DUMMYFUNCTION("""COMPUTED_VALUE"""),"Продление подписки на обновления Mobile SMARTS: Магазин 15 с МОТП, РАСШИРЕННЫЙ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пров"&amp;"одной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п"&amp;"росмотр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РАСШИРЕННЫЙ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3" s="4" t="str">
        <f ca="1">IFERROR(__xludf.DUMMYFUNCTION("""COMPUTED_VALUE"""),"Продление подписки на обновления Mobile SMARTS: Магазин 15 с МОТП, РАСШИРЕННЫЙ для интеграции через OLE/COM  на 1 (один) год")</f>
        <v>Продление подписки на обновления Mobile SMARTS: Магазин 15 с МОТП, РАСШИРЕННЫЙ для интеграции через OLE/COM  на 1 (один) год</v>
      </c>
      <c r="F633" s="5">
        <f ca="1">IFERROR(__xludf.DUMMYFUNCTION("""COMPUTED_VALUE"""),3890)</f>
        <v>3890</v>
      </c>
    </row>
    <row r="634" spans="1:6" ht="72" customHeight="1" x14ac:dyDescent="0.2">
      <c r="A634" s="4" t="str">
        <f ca="1">IFERROR(__xludf.DUMMYFUNCTION("""COMPUTED_VALUE"""),"интеграции через OLE/COM")</f>
        <v>интеграции через OLE/COM</v>
      </c>
      <c r="B634" s="4" t="str">
        <f ca="1">IFERROR(__xludf.DUMMYFUNCTION("""COMPUTED_VALUE"""),"с МОТП, МЕГАМАРКЕТ")</f>
        <v>с МОТП, МЕГАМАРКЕТ</v>
      </c>
      <c r="C634" s="4" t="str">
        <f ca="1">IFERROR(__xludf.DUMMYFUNCTION("""COMPUTED_VALUE"""),"SSY1-RTL15CT-OLE")</f>
        <v>SSY1-RTL15CT-OLE</v>
      </c>
      <c r="D634" s="4" t="str">
        <f ca="1">IFERROR(__xludf.DUMMYFUNCTION("""COMPUTED_VALUE"""),"Продление подписки на обновления Mobile SMARTS: Магазин 15 с МОТП, МЕГАМАРКЕТ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прово"&amp;"дной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пр"&amp;"осмотр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го"&amp;"д")</f>
        <v>Продление подписки на обновления Mobile SMARTS: Магазин 15 с МОТП, МЕГАМАРКЕТ для интеграции через OLE/COM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4" s="4" t="str">
        <f ca="1">IFERROR(__xludf.DUMMYFUNCTION("""COMPUTED_VALUE"""),"Продление подписки на обновления Mobile SMARTS: Магазин 15 с МОТП, МЕГАМАРКЕТ для интеграции через OLE/COM  на 1 (один) год")</f>
        <v>Продление подписки на обновления Mobile SMARTS: Магазин 15 с МОТП, МЕГАМАРКЕТ для интеграции через OLE/COM  на 1 (один) год</v>
      </c>
      <c r="F634" s="5">
        <f ca="1">IFERROR(__xludf.DUMMYFUNCTION("""COMPUTED_VALUE"""),5170)</f>
        <v>5170</v>
      </c>
    </row>
    <row r="635" spans="1:6" ht="72" customHeight="1" x14ac:dyDescent="0.2">
      <c r="A635" s="4" t="str">
        <f ca="1">IFERROR(__xludf.DUMMYFUNCTION("""COMPUTED_VALUE"""),"интеграции через OLE/COM")</f>
        <v>интеграции через OLE/COM</v>
      </c>
      <c r="B635" s="4" t="str">
        <f ca="1">IFERROR(__xludf.DUMMYFUNCTION("""COMPUTED_VALUE"""),"с ЕГАИС и МОТП, БАЗОВЫЙ")</f>
        <v>с ЕГАИС и МОТП, БАЗОВЫЙ</v>
      </c>
      <c r="C635" s="4" t="str">
        <f ca="1">IFERROR(__xludf.DUMMYFUNCTION("""COMPUTED_VALUE"""),"SSY1-RTL15AET-OLE")</f>
        <v>SSY1-RTL15AET-OLE</v>
      </c>
      <c r="D635" s="4" t="str">
        <f ca="1">IFERROR(__xludf.DUMMYFUNCTION("""COMPUTED_VALUE"""),"Продление подписки на обновления Mobile SMARTS: Магазин 15 с ЕГАИС и МОТП, БАЗОВЫЙ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"&amp;"по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"&amp;"принтер),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контраге"&amp;"нтах,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БАЗОВЫЙ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5" s="4" t="str">
        <f ca="1">IFERROR(__xludf.DUMMYFUNCTION("""COMPUTED_VALUE"""),"Продление подписки на обновления Mobile SMARTS: Магазин 15 с ЕГАИС и МОТП, БАЗОВЫЙ для интеграции через OLE/COM  на 1 (один) год")</f>
        <v>Продление подписки на обновления Mobile SMARTS: Магазин 15 с ЕГАИС и МОТП, БАЗОВЫЙ для интеграции через OLE/COM  на 1 (один) год</v>
      </c>
      <c r="F635" s="5">
        <f ca="1">IFERROR(__xludf.DUMMYFUNCTION("""COMPUTED_VALUE"""),2830)</f>
        <v>2830</v>
      </c>
    </row>
    <row r="636" spans="1:6" ht="72" customHeight="1" x14ac:dyDescent="0.2">
      <c r="A636" s="4" t="str">
        <f ca="1">IFERROR(__xludf.DUMMYFUNCTION("""COMPUTED_VALUE"""),"интеграции через OLE/COM")</f>
        <v>интеграции через OLE/COM</v>
      </c>
      <c r="B636" s="4" t="str">
        <f ca="1">IFERROR(__xludf.DUMMYFUNCTION("""COMPUTED_VALUE"""),"с ЕГАИС и МОТП, РАСШИРЕННЫЙ")</f>
        <v>с ЕГАИС и МОТП, РАСШИРЕННЫЙ</v>
      </c>
      <c r="C636" s="4" t="str">
        <f ca="1">IFERROR(__xludf.DUMMYFUNCTION("""COMPUTED_VALUE"""),"SSY1-RTL15BET-OLE")</f>
        <v>SSY1-RTL15BET-OLE</v>
      </c>
      <c r="D636" s="4" t="str">
        <f ca="1">IFERROR(__xludf.DUMMYFUNCTION("""COMPUTED_VALUE"""),"Продление подписки на обновления Mobile SMARTS: Магазин 15 с ЕГАИС и МОТП, РАСШИРЕННЫЙ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това"&amp;"ром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мобиль"&amp;"ный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конт"&amp;"рагентах,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РАСШИРЕННЫЙ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6" s="4" t="str">
        <f ca="1">IFERROR(__xludf.DUMMYFUNCTION("""COMPUTED_VALUE"""),"Продление подписки на обновления Mobile SMARTS: Магазин 15 с ЕГАИС и МОТП, РАСШИРЕННЫЙ для интеграции через OLE/COM  на 1 (один) год")</f>
        <v>Продление подписки на обновления Mobile SMARTS: Магазин 15 с ЕГАИС и МОТП, РАСШИРЕННЫЙ для интеграции через OLE/COM  на 1 (один) год</v>
      </c>
      <c r="F636" s="5">
        <f ca="1">IFERROR(__xludf.DUMMYFUNCTION("""COMPUTED_VALUE"""),4110)</f>
        <v>4110</v>
      </c>
    </row>
    <row r="637" spans="1:6" ht="72" customHeight="1" x14ac:dyDescent="0.2">
      <c r="A637" s="4" t="str">
        <f ca="1">IFERROR(__xludf.DUMMYFUNCTION("""COMPUTED_VALUE"""),"интеграции через OLE/COM")</f>
        <v>интеграции через OLE/COM</v>
      </c>
      <c r="B637" s="4" t="str">
        <f ca="1">IFERROR(__xludf.DUMMYFUNCTION("""COMPUTED_VALUE"""),"с ЕГАИС и МОТП, МЕГАМАРКЕТ")</f>
        <v>с ЕГАИС и МОТП, МЕГАМАРКЕТ</v>
      </c>
      <c r="C637" s="4" t="str">
        <f ca="1">IFERROR(__xludf.DUMMYFUNCTION("""COMPUTED_VALUE"""),"SSY1-RTL15CET-OLE")</f>
        <v>SSY1-RTL15CET-OLE</v>
      </c>
      <c r="D637" s="4" t="str">
        <f ca="1">IFERROR(__xludf.DUMMYFUNCTION("""COMPUTED_VALUE"""),"Продление подписки на обновления Mobile SMARTS: Магазин 15 с ЕГАИС и МОТП, МЕГАМАРКЕТ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товар"&amp;"ом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мобильн"&amp;"ый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т"&amp;"оваре,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МЕГАМАРКЕТ для интеграции через OLE/COM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7" s="4" t="str">
        <f ca="1">IFERROR(__xludf.DUMMYFUNCTION("""COMPUTED_VALUE"""),"Продление подписки на обновления Mobile SMARTS: Магазин 15 с ЕГАИС и МОТП, МЕГАМАРКЕТ для интеграции через OLE/COM  на 1 (один) год")</f>
        <v>Продление подписки на обновления Mobile SMARTS: Магазин 15 с ЕГАИС и МОТП, МЕГАМАРКЕТ для интеграции через OLE/COM  на 1 (один) год</v>
      </c>
      <c r="F637" s="5">
        <f ca="1">IFERROR(__xludf.DUMMYFUNCTION("""COMPUTED_VALUE"""),5670)</f>
        <v>5670</v>
      </c>
    </row>
    <row r="638" spans="1:6" ht="72" customHeight="1" x14ac:dyDescent="0.2">
      <c r="A638" s="4" t="str">
        <f ca="1">IFERROR(__xludf.DUMMYFUNCTION("""COMPUTED_VALUE"""),"интеграции через OLE/COM")</f>
        <v>интеграции через OLE/COM</v>
      </c>
      <c r="B638" s="4" t="str">
        <f ca="1">IFERROR(__xludf.DUMMYFUNCTION("""COMPUTED_VALUE"""),"ШМОТКИ, БАЗОВЫЙ")</f>
        <v>ШМОТКИ, БАЗОВЫЙ</v>
      </c>
      <c r="C638" s="4" t="str">
        <f ca="1">IFERROR(__xludf.DUMMYFUNCTION("""COMPUTED_VALUE"""),"SSY1-RTL15AK-OLE")</f>
        <v>SSY1-RTL15AK-OLE</v>
      </c>
      <c r="D638" s="4" t="str">
        <f ca="1">IFERROR(__xludf.DUMMYFUNCTION("""COMPUTED_VALUE"""),"Продление подписки на обновления Mobile SMARTS: Магазин 15 с КИРОВКОЙ, БАЗОВЫЙ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"&amp;"штрихкодам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(од"&amp;"ин) год")</f>
        <v>Продление подписки на обновления Mobile SMARTS: Магазин 15 с КИРОВКОЙ, БАЗОВЫЙ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8" s="4" t="str">
        <f ca="1">IFERROR(__xludf.DUMMYFUNCTION("""COMPUTED_VALUE"""),"Продление подписки на обновления Mobile SMARTS: Магазин 15 с КИРОВКОЙ, БАЗОВЫЙ для интеграции через OLE/COM  на 1 (один) год")</f>
        <v>Продление подписки на обновления Mobile SMARTS: Магазин 15 с КИРОВКОЙ, БАЗОВЫЙ для интеграции через OLE/COM  на 1 (один) год</v>
      </c>
      <c r="F638" s="5">
        <f ca="1">IFERROR(__xludf.DUMMYFUNCTION("""COMPUTED_VALUE"""),2830)</f>
        <v>2830</v>
      </c>
    </row>
    <row r="639" spans="1:6" ht="72" customHeight="1" x14ac:dyDescent="0.2">
      <c r="A639" s="4" t="str">
        <f ca="1">IFERROR(__xludf.DUMMYFUNCTION("""COMPUTED_VALUE"""),"интеграции через OLE/COM")</f>
        <v>интеграции через OLE/COM</v>
      </c>
      <c r="B639" s="4" t="str">
        <f ca="1">IFERROR(__xludf.DUMMYFUNCTION("""COMPUTED_VALUE"""),"ШМОТКИ, РАСШИРЕННЫЙ")</f>
        <v>ШМОТКИ, РАСШИРЕННЫЙ</v>
      </c>
      <c r="C639" s="4" t="str">
        <f ca="1">IFERROR(__xludf.DUMMYFUNCTION("""COMPUTED_VALUE"""),"SSY1-RTL15BK-OLE")</f>
        <v>SSY1-RTL15BK-OLE</v>
      </c>
      <c r="D639" s="4" t="str">
        <f ca="1">IFERROR(__xludf.DUMMYFUNCTION("""COMPUTED_VALUE"""),"Продление подписки на обновления Mobile SMARTS: Магазин 15 с КИРОВКОЙ, РАСШИРЕННЫЙ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товаром"&amp;"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п"&amp;"еремещение,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1"&amp;" (один) год")</f>
        <v>Продление подписки на обновления Mobile SMARTS: Магазин 15 с КИРОВКОЙ, РАСШИРЕННЫЙ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39" s="4" t="str">
        <f ca="1">IFERROR(__xludf.DUMMYFUNCTION("""COMPUTED_VALUE"""),"Продление подписки на обновления Mobile SMARTS: Магазин 15 с КИРОВКОЙ, РАСШИРЕННЫЙ для интеграции через OLE/COM  на 1 (один) год")</f>
        <v>Продление подписки на обновления Mobile SMARTS: Магазин 15 с КИРОВКОЙ, РАСШИРЕННЫЙ для интеграции через OLE/COM  на 1 (один) год</v>
      </c>
      <c r="F639" s="5">
        <f ca="1">IFERROR(__xludf.DUMMYFUNCTION("""COMPUTED_VALUE"""),4110)</f>
        <v>4110</v>
      </c>
    </row>
    <row r="640" spans="1:6" ht="72" customHeight="1" x14ac:dyDescent="0.2">
      <c r="A640" s="4" t="str">
        <f ca="1">IFERROR(__xludf.DUMMYFUNCTION("""COMPUTED_VALUE"""),"интеграции через OLE/COM")</f>
        <v>интеграции через OLE/COM</v>
      </c>
      <c r="B640" s="4" t="str">
        <f ca="1">IFERROR(__xludf.DUMMYFUNCTION("""COMPUTED_VALUE"""),"ШМОТКИ, МЕГАМАРКЕТ")</f>
        <v>ШМОТКИ, МЕГАМАРКЕТ</v>
      </c>
      <c r="C640" s="4" t="str">
        <f ca="1">IFERROR(__xludf.DUMMYFUNCTION("""COMPUTED_VALUE"""),"SSY1-RTL15CK-OLE")</f>
        <v>SSY1-RTL15CK-OLE</v>
      </c>
      <c r="D640" s="4" t="str">
        <f ca="1">IFERROR(__xludf.DUMMYFUNCTION("""COMPUTED_VALUE"""),"Продление подписки на обновления Mobile SMARTS: Магазин 15 с КИРОВКОЙ, МЕГАМАРКЕТ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"&amp;"по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пе"&amp;"ремещение,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"&amp;"моб. устройство на 1 (один) год")</f>
        <v>Продление подписки на обновления Mobile SMARTS: Магазин 15 с КИРОВКОЙ, МЕГАМАРКЕТ для интеграции через OLE/COM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40" s="4" t="str">
        <f ca="1">IFERROR(__xludf.DUMMYFUNCTION("""COMPUTED_VALUE"""),"Продление подписки на обновления Mobile SMARTS: Магазин 15 с КИРОВКОЙ, МЕГАМАРКЕТ для интеграции через OLE/COM  на 1 (один) год")</f>
        <v>Продление подписки на обновления Mobile SMARTS: Магазин 15 с КИРОВКОЙ, МЕГАМАРКЕТ для интеграции через OLE/COM  на 1 (один) год</v>
      </c>
      <c r="F640" s="5">
        <f ca="1">IFERROR(__xludf.DUMMYFUNCTION("""COMPUTED_VALUE"""),5670)</f>
        <v>5670</v>
      </c>
    </row>
    <row r="641" spans="1:6" ht="72" customHeight="1" x14ac:dyDescent="0.2">
      <c r="A641" s="4" t="str">
        <f ca="1">IFERROR(__xludf.DUMMYFUNCTION("""COMPUTED_VALUE"""),"интеграции через OLE/COM")</f>
        <v>интеграции через OLE/COM</v>
      </c>
      <c r="B641" s="4" t="str">
        <f ca="1">IFERROR(__xludf.DUMMYFUNCTION("""COMPUTED_VALUE"""),"с МДЛП, БАЗОВЫЙ")</f>
        <v>с МДЛП, БАЗОВЫЙ</v>
      </c>
      <c r="C641" s="4" t="str">
        <f ca="1">IFERROR(__xludf.DUMMYFUNCTION("""COMPUTED_VALUE"""),"SSY1-RTL15AL-OLE")</f>
        <v>SSY1-RTL15AL-OLE</v>
      </c>
      <c r="D641" s="4" t="str">
        <f ca="1">IFERROR(__xludf.DUMMYFUNCTION("""COMPUTED_VALUE"""),"Продление подписки на обновления Mobile SMARTS: Магазин 15 с МДЛП, БАЗОВЫЙ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"&amp;"на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"&amp;"штрихкодов,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МДЛП, БАЗОВЫЙ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41" s="4" t="str">
        <f ca="1">IFERROR(__xludf.DUMMYFUNCTION("""COMPUTED_VALUE"""),"Продление подписки на обновления Mobile SMARTS: Магазин 15 с МДЛП, БАЗОВЫЙ для интеграции через OLE/COM  на 1 (один) год")</f>
        <v>Продление подписки на обновления Mobile SMARTS: Магазин 15 с МДЛП, БАЗОВЫЙ для интеграции через OLE/COM  на 1 (один) год</v>
      </c>
      <c r="F641" s="5">
        <f ca="1">IFERROR(__xludf.DUMMYFUNCTION("""COMPUTED_VALUE"""),2091.6)</f>
        <v>2091.6</v>
      </c>
    </row>
    <row r="642" spans="1:6" ht="72" customHeight="1" x14ac:dyDescent="0.2">
      <c r="A642" s="4" t="str">
        <f ca="1">IFERROR(__xludf.DUMMYFUNCTION("""COMPUTED_VALUE"""),"интеграции через OLE/COM")</f>
        <v>интеграции через OLE/COM</v>
      </c>
      <c r="B642" s="4" t="str">
        <f ca="1">IFERROR(__xludf.DUMMYFUNCTION("""COMPUTED_VALUE"""),"с МДЛП, РАСШИРЕННЫЙ")</f>
        <v>с МДЛП, РАСШИРЕННЫЙ</v>
      </c>
      <c r="C642" s="4" t="str">
        <f ca="1">IFERROR(__xludf.DUMMYFUNCTION("""COMPUTED_VALUE"""),"SSY1-RTL15BL-OLE")</f>
        <v>SSY1-RTL15BL-OLE</v>
      </c>
      <c r="D642" s="4" t="str">
        <f ca="1">IFERROR(__xludf.DUMMYFUNCTION("""COMPUTED_VALUE"""),"Продление подписки на обновления Mobile SMARTS: Магазин 15 с МДЛП, РАСШИРЕННЫЙ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штрихкода"&amp;"м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МДЛП, РАСШИРЕННЫЙ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42" s="4" t="str">
        <f ca="1">IFERROR(__xludf.DUMMYFUNCTION("""COMPUTED_VALUE"""),"Продление подписки на обновления Mobile SMARTS: Магазин 15 с МДЛП, РАСШИРЕННЫЙ для интеграции через OLE/COM  на 1 (один) год")</f>
        <v>Продление подписки на обновления Mobile SMARTS: Магазин 15 с МДЛП, РАСШИРЕННЫЙ для интеграции через OLE/COM  на 1 (один) год</v>
      </c>
      <c r="F642" s="5">
        <f ca="1">IFERROR(__xludf.DUMMYFUNCTION("""COMPUTED_VALUE"""),3075.6)</f>
        <v>3075.6</v>
      </c>
    </row>
    <row r="643" spans="1:6" ht="72" customHeight="1" x14ac:dyDescent="0.2">
      <c r="A643" s="4" t="str">
        <f ca="1">IFERROR(__xludf.DUMMYFUNCTION("""COMPUTED_VALUE"""),"интеграции через OLE/COM")</f>
        <v>интеграции через OLE/COM</v>
      </c>
      <c r="B643" s="4" t="str">
        <f ca="1">IFERROR(__xludf.DUMMYFUNCTION("""COMPUTED_VALUE"""),"с МДЛП, МЕГАМАРКЕТ")</f>
        <v>с МДЛП, МЕГАМАРКЕТ</v>
      </c>
      <c r="C643" s="4" t="str">
        <f ca="1">IFERROR(__xludf.DUMMYFUNCTION("""COMPUTED_VALUE"""),"SSY1-RTL15CL-OLE")</f>
        <v>SSY1-RTL15CL-OLE</v>
      </c>
      <c r="D643" s="4" t="str">
        <f ca="1">IFERROR(__xludf.DUMMYFUNCTION("""COMPUTED_VALUE"""),"Продление подписки на обновления Mobile SMARTS: Магазин 15 с МДЛП, МЕГАМАРКЕТ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штрихкодам"&amp;"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сб"&amp;"ор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устройст"&amp;"во на 1 (один) год")</f>
        <v>Продление подписки на обновления Mobile SMARTS: Магазин 15 с МДЛП, МЕГАМАРКЕТ для интеграции через OLE/COM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43" s="4" t="str">
        <f ca="1">IFERROR(__xludf.DUMMYFUNCTION("""COMPUTED_VALUE"""),"Продление подписки на обновления Mobile SMARTS: Магазин 15 с МДЛП, МЕГАМАРКЕТ для интеграции через OLE/COM  на 1 (один) год")</f>
        <v>Продление подписки на обновления Mobile SMARTS: Магазин 15 с МДЛП, МЕГАМАРКЕТ для интеграции через OLE/COM  на 1 (один) год</v>
      </c>
      <c r="F643" s="5">
        <f ca="1">IFERROR(__xludf.DUMMYFUNCTION("""COMPUTED_VALUE"""),4539.6)</f>
        <v>4539.6000000000004</v>
      </c>
    </row>
    <row r="644" spans="1:6" ht="72" customHeight="1" x14ac:dyDescent="0.2">
      <c r="A644" s="4" t="str">
        <f ca="1">IFERROR(__xludf.DUMMYFUNCTION("""COMPUTED_VALUE"""),"интеграции через OLE/COM")</f>
        <v>интеграции через OLE/COM</v>
      </c>
      <c r="B644" s="4" t="str">
        <f ca="1">IFERROR(__xludf.DUMMYFUNCTION("""COMPUTED_VALUE"""),"ПРОДУКТОВЫЙ, БАЗОВЫЙ")</f>
        <v>ПРОДУКТОВЫЙ, БАЗОВЫЙ</v>
      </c>
      <c r="C644" s="4" t="str">
        <f ca="1">IFERROR(__xludf.DUMMYFUNCTION("""COMPUTED_VALUE"""),"SSY1-RTL15AG-OLE")</f>
        <v>SSY1-RTL15AG-OLE</v>
      </c>
      <c r="D644" s="4" t="str">
        <f ca="1">IFERROR(__xludf.DUMMYFUNCTION("""COMPUTED_VALUE"""),"Продление подписки на обновления Mobile SMARTS: Магазин 15 ПРОДУКТОВЫЙ, БАЗОВЫЙ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"&amp;"ОДЕЖДА,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пере"&amp;"оценка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"&amp;"информация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44" s="4" t="str">
        <f ca="1">IFERROR(__xludf.DUMMYFUNCTION("""COMPUTED_VALUE"""),"Продление подписки на обновления Mobile SMARTS: Магазин 15 ПРОДУКТОВЫЙ, БАЗОВЫЙ для интеграции через OLE/COM  на 1 (один) год")</f>
        <v>Продление подписки на обновления Mobile SMARTS: Магазин 15 ПРОДУКТОВЫЙ, БАЗОВЫЙ для интеграции через OLE/COM  на 1 (один) год</v>
      </c>
      <c r="F644" s="5">
        <f ca="1">IFERROR(__xludf.DUMMYFUNCTION("""COMPUTED_VALUE"""),2631.6)</f>
        <v>2631.6</v>
      </c>
    </row>
    <row r="645" spans="1:6" ht="72" customHeight="1" x14ac:dyDescent="0.2">
      <c r="A645" s="4" t="str">
        <f ca="1">IFERROR(__xludf.DUMMYFUNCTION("""COMPUTED_VALUE"""),"интеграции через OLE/COM")</f>
        <v>интеграции через OLE/COM</v>
      </c>
      <c r="B645" s="4" t="str">
        <f ca="1">IFERROR(__xludf.DUMMYFUNCTION("""COMPUTED_VALUE"""),"ПРОДУКТОВЫЙ, РАСШИРЕННЫЙ")</f>
        <v>ПРОДУКТОВЫЙ, РАСШИРЕННЫЙ</v>
      </c>
      <c r="C645" s="4" t="str">
        <f ca="1">IFERROR(__xludf.DUMMYFUNCTION("""COMPUTED_VALUE"""),"SSY1-RTL15BG-OLE")</f>
        <v>SSY1-RTL15BG-OLE</v>
      </c>
      <c r="D645" s="4" t="str">
        <f ca="1">IFERROR(__xludf.DUMMYFUNCTION("""COMPUTED_VALUE"""),"Продление подписки на обновления Mobile SMARTS: Магазин 15 ПРОДУКТОВЫЙ, РАСШИРЕННЫЙ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ВО"&amp;"ДА,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"&amp;"переоценка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45" s="4" t="str">
        <f ca="1">IFERROR(__xludf.DUMMYFUNCTION("""COMPUTED_VALUE"""),"Продление подписки на обновления Mobile SMARTS: Магазин 15 ПРОДУКТОВЫЙ, РАСШИРЕННЫЙ для интеграции через OLE/COM  на 1 (один) год")</f>
        <v>Продление подписки на обновления Mobile SMARTS: Магазин 15 ПРОДУКТОВЫЙ, РАСШИРЕННЫЙ для интеграции через OLE/COM  на 1 (один) год</v>
      </c>
      <c r="F645" s="5">
        <f ca="1">IFERROR(__xludf.DUMMYFUNCTION("""COMPUTED_VALUE"""),3615.6)</f>
        <v>3615.6</v>
      </c>
    </row>
    <row r="646" spans="1:6" ht="72" customHeight="1" x14ac:dyDescent="0.2">
      <c r="A646" s="4" t="str">
        <f ca="1">IFERROR(__xludf.DUMMYFUNCTION("""COMPUTED_VALUE"""),"интеграции через OLE/COM")</f>
        <v>интеграции через OLE/COM</v>
      </c>
      <c r="B646" s="4" t="str">
        <f ca="1">IFERROR(__xludf.DUMMYFUNCTION("""COMPUTED_VALUE"""),"ПРОДУКТОВЫЙ, МЕГАМАРКЕТ")</f>
        <v>ПРОДУКТОВЫЙ, МЕГАМАРКЕТ</v>
      </c>
      <c r="C646" s="4" t="str">
        <f ca="1">IFERROR(__xludf.DUMMYFUNCTION("""COMPUTED_VALUE"""),"SSY1-RTL15CG-OLE")</f>
        <v>SSY1-RTL15CG-OLE</v>
      </c>
      <c r="D646" s="4" t="str">
        <f ca="1">IFERROR(__xludf.DUMMYFUNCTION("""COMPUTED_VALUE"""),"Продление подписки на обновления Mobile SMARTS: Магазин 15 ПРОДУКТОВЫЙ, МЕГАМАРКЕТ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ВОД"&amp;"А,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п"&amp;"ереоценка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возможност"&amp;"и: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МЕГАМАРКЕТ для интеграции через OLE/COM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46" s="4" t="str">
        <f ca="1">IFERROR(__xludf.DUMMYFUNCTION("""COMPUTED_VALUE"""),"Продление подписки на обновления Mobile SMARTS: Магазин 15 ПРОДУКТОВЫЙ, МЕГАМАРКЕТ для интеграции через OLE/COM  на 1 (один) год")</f>
        <v>Продление подписки на обновления Mobile SMARTS: Магазин 15 ПРОДУКТОВЫЙ, МЕГАМАРКЕТ для интеграции через OLE/COM  на 1 (один) год</v>
      </c>
      <c r="F646" s="5">
        <f ca="1">IFERROR(__xludf.DUMMYFUNCTION("""COMPUTED_VALUE"""),6033.8)</f>
        <v>6033.8</v>
      </c>
    </row>
    <row r="647" spans="1:6" ht="72" customHeight="1" x14ac:dyDescent="0.2">
      <c r="A647" s="4" t="str">
        <f ca="1">IFERROR(__xludf.DUMMYFUNCTION("""COMPUTED_VALUE"""),"интеграции через TXT, CSV, Excel")</f>
        <v>интеграции через TXT, CSV, Excel</v>
      </c>
      <c r="B647" s="4" t="str">
        <f ca="1">IFERROR(__xludf.DUMMYFUNCTION("""COMPUTED_VALUE"""),"МИНИМУМ")</f>
        <v>МИНИМУМ</v>
      </c>
      <c r="C647" s="4" t="str">
        <f ca="1">IFERROR(__xludf.DUMMYFUNCTION("""COMPUTED_VALUE"""),"SSY1-RTL15M-TXT")</f>
        <v>SSY1-RTL15M-TXT</v>
      </c>
      <c r="D647" s="4" t="str">
        <f ca="1">IFERROR(__xludf.DUMMYFUNCTION("""COMPUTED_VALUE"""),"Продление подписки на обновления Mobile SMARTS: Магазин 15, МИНИМУМ для интеграции через TXT, CSV, Excel / для работы с товаром по штрихкодам / на выбор проводной или беспроводной обмен / нет онлайна / доступные операции: сбор штрихкодов, инвентаризация, "&amp;"просмотр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(один) год")</f>
        <v>Продление подписки на обновления Mobile SMARTS: Магазин 15, МИНИМУМ для интеграции через TXT, CSV, Excel /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(один) год</v>
      </c>
      <c r="E647" s="4" t="str">
        <f ca="1">IFERROR(__xludf.DUMMYFUNCTION("""COMPUTED_VALUE"""),"Продление подписки на обновления Mobile SMARTS: Магазин 15, МИНИМУМ для интеграции через TXT, CSV, Excel  на 1 (один) год")</f>
        <v>Продление подписки на обновления Mobile SMARTS: Магазин 15, МИНИМУМ для интеграции через TXT, CSV, Excel  на 1 (один) год</v>
      </c>
      <c r="F647" s="5">
        <f ca="1">IFERROR(__xludf.DUMMYFUNCTION("""COMPUTED_VALUE"""),690)</f>
        <v>690</v>
      </c>
    </row>
    <row r="648" spans="1:6" ht="72" customHeight="1" x14ac:dyDescent="0.2">
      <c r="A648" s="4" t="str">
        <f ca="1">IFERROR(__xludf.DUMMYFUNCTION("""COMPUTED_VALUE"""),"интеграции через TXT, CSV, Excel")</f>
        <v>интеграции через TXT, CSV, Excel</v>
      </c>
      <c r="B648" s="4" t="str">
        <f ca="1">IFERROR(__xludf.DUMMYFUNCTION("""COMPUTED_VALUE"""),"БАЗОВЫЙ")</f>
        <v>БАЗОВЫЙ</v>
      </c>
      <c r="C648" s="4" t="str">
        <f ca="1">IFERROR(__xludf.DUMMYFUNCTION("""COMPUTED_VALUE"""),"SSY1-RTL15A-TXT")</f>
        <v>SSY1-RTL15A-TXT</v>
      </c>
      <c r="D648" s="4" t="str">
        <f ca="1">IFERROR(__xludf.DUMMYFUNCTION("""COMPUTED_VALUE"""),"Продление подписки на обновления Mobile SMARTS: Магазин 15, БАЗОВЫЙ для интеграции через TXT, CSV, Excel / для работы с товаром по штрихкодам / на выбор проводной или беспроводной обмен / нет онлайна / доступные операции: поступление, инвентаризация, пере"&amp;"оценка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существующих"&amp;" операций / возможность добавлять свои операции /  на 1 (одно) моб. устройство на 1 (один) год")</f>
        <v>Продление подписки на обновления Mobile SMARTS: Магазин 15, БАЗОВЫЙ для интеграции через TXT, CSV, Excel /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48" s="4" t="str">
        <f ca="1">IFERROR(__xludf.DUMMYFUNCTION("""COMPUTED_VALUE"""),"Продление подписки на обновления Mobile SMARTS: Магазин 15, БАЗОВЫЙ для интеграции через TXT, CSV, Excel  на 1 (один) год")</f>
        <v>Продление подписки на обновления Mobile SMARTS: Магазин 15, БАЗОВЫЙ для интеграции через TXT, CSV, Excel  на 1 (один) год</v>
      </c>
      <c r="F648" s="5">
        <f ca="1">IFERROR(__xludf.DUMMYFUNCTION("""COMPUTED_VALUE"""),1730)</f>
        <v>1730</v>
      </c>
    </row>
    <row r="649" spans="1:6" ht="72" customHeight="1" x14ac:dyDescent="0.2">
      <c r="A649" s="4" t="str">
        <f ca="1">IFERROR(__xludf.DUMMYFUNCTION("""COMPUTED_VALUE"""),"интеграции через TXT, CSV, Excel")</f>
        <v>интеграции через TXT, CSV, Excel</v>
      </c>
      <c r="B649" s="4" t="str">
        <f ca="1">IFERROR(__xludf.DUMMYFUNCTION("""COMPUTED_VALUE"""),"РАСШИРЕННЫЙ")</f>
        <v>РАСШИРЕННЫЙ</v>
      </c>
      <c r="C649" s="4" t="str">
        <f ca="1">IFERROR(__xludf.DUMMYFUNCTION("""COMPUTED_VALUE"""),"SSY1-RTL15B-TXT")</f>
        <v>SSY1-RTL15B-TXT</v>
      </c>
      <c r="D649" s="4" t="str">
        <f ca="1">IFERROR(__xludf.DUMMYFUNCTION("""COMPUTED_VALUE"""),"Продление подписки на обновления Mobile SMARTS: Магазин 15, РАСШИРЕННЫЙ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"&amp;"переоценка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существу"&amp;"ющих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РАСШИРЕННЫЙ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49" s="4" t="str">
        <f ca="1">IFERROR(__xludf.DUMMYFUNCTION("""COMPUTED_VALUE"""),"Продление подписки на обновления Mobile SMARTS: Магазин 15, РАСШИРЕННЫЙ для интеграции через TXT, CSV, Excel  на 1 (один) год")</f>
        <v>Продление подписки на обновления Mobile SMARTS: Магазин 15, РАСШИРЕННЫЙ для интеграции через TXT, CSV, Excel  на 1 (один) год</v>
      </c>
      <c r="F649" s="5">
        <f ca="1">IFERROR(__xludf.DUMMYFUNCTION("""COMPUTED_VALUE"""),3010)</f>
        <v>3010</v>
      </c>
    </row>
    <row r="650" spans="1:6" ht="72" customHeight="1" x14ac:dyDescent="0.2">
      <c r="A650" s="4" t="str">
        <f ca="1">IFERROR(__xludf.DUMMYFUNCTION("""COMPUTED_VALUE"""),"интеграции через TXT, CSV, Excel")</f>
        <v>интеграции через TXT, CSV, Excel</v>
      </c>
      <c r="B650" s="4" t="str">
        <f ca="1">IFERROR(__xludf.DUMMYFUNCTION("""COMPUTED_VALUE"""),"МЕГАМАРКЕТ")</f>
        <v>МЕГАМАРКЕТ</v>
      </c>
      <c r="C650" s="4" t="str">
        <f ca="1">IFERROR(__xludf.DUMMYFUNCTION("""COMPUTED_VALUE"""),"SSY1-RTL15C-TXT")</f>
        <v>SSY1-RTL15C-TXT</v>
      </c>
      <c r="D650" s="4" t="str">
        <f ca="1">IFERROR(__xludf.DUMMYFUNCTION("""COMPUTED_VALUE"""),"Продление подписки на обновления Mobile SMARTS: Магазин 15, МЕГАМАРКЕТ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п"&amp;"ереоценка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"&amp;"/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МЕГАМАРКЕТ для интеграции через TXT, CSV, Excel /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50" s="4" t="str">
        <f ca="1">IFERROR(__xludf.DUMMYFUNCTION("""COMPUTED_VALUE"""),"Продление подписки на обновления Mobile SMARTS: Магазин 15, МЕГАМАРКЕТ для интеграции через TXT, CSV, Excel  на 1 (один) год")</f>
        <v>Продление подписки на обновления Mobile SMARTS: Магазин 15, МЕГАМАРКЕТ для интеграции через TXT, CSV, Excel  на 1 (один) год</v>
      </c>
      <c r="F650" s="5">
        <f ca="1">IFERROR(__xludf.DUMMYFUNCTION("""COMPUTED_VALUE"""),4310)</f>
        <v>4310</v>
      </c>
    </row>
    <row r="651" spans="1:6" ht="72" customHeight="1" x14ac:dyDescent="0.2">
      <c r="A651" s="4" t="str">
        <f ca="1">IFERROR(__xludf.DUMMYFUNCTION("""COMPUTED_VALUE"""),"интеграции через TXT, CSV, Excel")</f>
        <v>интеграции через TXT, CSV, Excel</v>
      </c>
      <c r="B651" s="4" t="str">
        <f ca="1">IFERROR(__xludf.DUMMYFUNCTION("""COMPUTED_VALUE"""),"с ЕГАИС, БАЗОВЫЙ")</f>
        <v>с ЕГАИС, БАЗОВЫЙ</v>
      </c>
      <c r="C651" s="4" t="str">
        <f ca="1">IFERROR(__xludf.DUMMYFUNCTION("""COMPUTED_VALUE"""),"SSY1-RTL15AE-TXT")</f>
        <v>SSY1-RTL15AE-TXT</v>
      </c>
      <c r="D651" s="4" t="str">
        <f ca="1">IFERROR(__xludf.DUMMYFUNCTION("""COMPUTED_VALUE"""),"Продление подписки на обновления Mobile SMARTS: Магазин 15 с ЕГАИС, БАЗОВЫЙ для интеграции через TXT, CSV, Excel / для работы с маркированным алкоголем ЕГАИС и товаром по штрихкодам / на выбор проводной или беспроводной обмен / нет онлайна / доступные опе"&amp;"рации: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това"&amp;"ре,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год")</f>
        <v>Продление подписки на обновления Mobile SMARTS: Магазин 15 с ЕГАИС, БАЗОВЫЙ для интеграции через TXT, CSV, Excel /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</v>
      </c>
      <c r="E651" s="4" t="str">
        <f ca="1">IFERROR(__xludf.DUMMYFUNCTION("""COMPUTED_VALUE"""),"Продление подписки на обновления Mobile SMARTS: Магазин 15 с ЕГАИС, БАЗОВЫЙ для интеграции через TXT, CSV, Excel  на 1 (один) год")</f>
        <v>Продление подписки на обновления Mobile SMARTS: Магазин 15 с ЕГАИС, БАЗОВЫЙ для интеграции через TXT, CSV, Excel  на 1 (один) год</v>
      </c>
      <c r="F651" s="5">
        <f ca="1">IFERROR(__xludf.DUMMYFUNCTION("""COMPUTED_VALUE"""),2200)</f>
        <v>2200</v>
      </c>
    </row>
    <row r="652" spans="1:6" ht="72" customHeight="1" x14ac:dyDescent="0.2">
      <c r="A652" s="4" t="str">
        <f ca="1">IFERROR(__xludf.DUMMYFUNCTION("""COMPUTED_VALUE"""),"интеграции через TXT, CSV, Excel")</f>
        <v>интеграции через TXT, CSV, Excel</v>
      </c>
      <c r="B652" s="4" t="str">
        <f ca="1">IFERROR(__xludf.DUMMYFUNCTION("""COMPUTED_VALUE"""),"с ЕГАИС, РАСШИРЕННЫЙ")</f>
        <v>с ЕГАИС, РАСШИРЕННЫЙ</v>
      </c>
      <c r="C652" s="4" t="str">
        <f ca="1">IFERROR(__xludf.DUMMYFUNCTION("""COMPUTED_VALUE"""),"SSY1-RTL15BE-TXT")</f>
        <v>SSY1-RTL15BE-TXT</v>
      </c>
      <c r="D652" s="4" t="str">
        <f ca="1">IFERROR(__xludf.DUMMYFUNCTION("""COMPUTED_VALUE"""),"Продление подписки на обновления Mobile SMARTS: Магазин 15 с ЕГАИС, РАСШИРЕННЫЙ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доступные"&amp;"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"&amp;"товаре,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ЕГАИС, РАСШИРЕННЫЙ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52" s="4" t="str">
        <f ca="1">IFERROR(__xludf.DUMMYFUNCTION("""COMPUTED_VALUE"""),"Продление подписки на обновления Mobile SMARTS: Магазин 15 с ЕГАИС, РАСШИРЕННЫЙ для интеграции через TXT, CSV, Excel  на 1 (один) год")</f>
        <v>Продление подписки на обновления Mobile SMARTS: Магазин 15 с ЕГАИС, РАСШИРЕННЫЙ для интеграции через TXT, CSV, Excel  на 1 (один) год</v>
      </c>
      <c r="F652" s="5">
        <f ca="1">IFERROR(__xludf.DUMMYFUNCTION("""COMPUTED_VALUE"""),3490)</f>
        <v>3490</v>
      </c>
    </row>
    <row r="653" spans="1:6" ht="72" customHeight="1" x14ac:dyDescent="0.2">
      <c r="A653" s="4" t="str">
        <f ca="1">IFERROR(__xludf.DUMMYFUNCTION("""COMPUTED_VALUE"""),"интеграции через TXT, CSV, Excel")</f>
        <v>интеграции через TXT, CSV, Excel</v>
      </c>
      <c r="B653" s="4" t="str">
        <f ca="1">IFERROR(__xludf.DUMMYFUNCTION("""COMPUTED_VALUE"""),"с ЕГАИС (без CheckMark2), МЕГАМАРКЕТ")</f>
        <v>с ЕГАИС (без CheckMark2), МЕГАМАРКЕТ</v>
      </c>
      <c r="C653" s="4" t="str">
        <f ca="1">IFERROR(__xludf.DUMMYFUNCTION("""COMPUTED_VALUE"""),"SSY1-RTL15CEV-TXT")</f>
        <v>SSY1-RTL15CEV-TXT</v>
      </c>
      <c r="D653" s="4" t="str">
        <f ca="1">IFERROR(__xludf.DUMMYFUNCTION("""COMPUTED_VALUE"""),"Продление подписки на обновления Mobile SMARTS: Магазин 15 с ЕГАИС (без CheckMark2), МЕГАМАРКЕТ для интеграции через TXT, CSV, Excel / для работы с маркированным алкоголем ЕГАИС и товаром по штрихкодам / на выбор проводной или беспроводной обмен / есть ОН"&amp;"ЛАЙН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печат"&amp;"ь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(без CheckMark2), МЕГАМАРКЕТ для интеграции через TXT, CSV, Excel /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53" s="4" t="str">
        <f ca="1">IFERROR(__xludf.DUMMYFUNCTION("""COMPUTED_VALUE"""),"Продление подписки на обновления Mobile SMARTS: Магазин 15 с ЕГАИС (без CheckMark2), МЕГАМАРКЕТ для интеграции через TXT, CSV, Excel  на 1 (один) год")</f>
        <v>Продление подписки на обновления Mobile SMARTS: Магазин 15 с ЕГАИС (без CheckMark2), МЕГАМАРКЕТ для интеграции через TXT, CSV, Excel  на 1 (один) год</v>
      </c>
      <c r="F653" s="5">
        <f ca="1">IFERROR(__xludf.DUMMYFUNCTION("""COMPUTED_VALUE"""),4770)</f>
        <v>4770</v>
      </c>
    </row>
    <row r="654" spans="1:6" ht="72" customHeight="1" x14ac:dyDescent="0.2">
      <c r="A654" s="4" t="str">
        <f ca="1">IFERROR(__xludf.DUMMYFUNCTION("""COMPUTED_VALUE"""),"интеграции через TXT, CSV, Excel")</f>
        <v>интеграции через TXT, CSV, Excel</v>
      </c>
      <c r="B654" s="4" t="str">
        <f ca="1">IFERROR(__xludf.DUMMYFUNCTION("""COMPUTED_VALUE"""),"с МОТП, БАЗОВЫЙ")</f>
        <v>с МОТП, БАЗОВЫЙ</v>
      </c>
      <c r="C654" s="4" t="str">
        <f ca="1">IFERROR(__xludf.DUMMYFUNCTION("""COMPUTED_VALUE"""),"SSY1-RTL15AT-TXT")</f>
        <v>SSY1-RTL15AT-TXT</v>
      </c>
      <c r="D654" s="4" t="str">
        <f ca="1">IFERROR(__xludf.DUMMYFUNCTION("""COMPUTED_VALUE"""),"Продление подписки на обновления Mobile SMARTS: Магазин 15 с МОТП, БАЗОВЫЙ для интеграции через TXT, CSV, Excel / для работы с маркированным ТАБАКОМ и товаром по штрихкодам / на выбор проводной или беспроводной обмен / нет онлайна / доступные операции: по"&amp;"ступление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товаре,"&amp;"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БАЗОВЫЙ для интеграции через TXT, CSV, Excel /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54" s="4" t="str">
        <f ca="1">IFERROR(__xludf.DUMMYFUNCTION("""COMPUTED_VALUE"""),"Продление подписки на обновления Mobile SMARTS: Магазин 15 с МОТП, БАЗОВЫЙ для интеграции через TXT, CSV, Excel  на 1 (один) год")</f>
        <v>Продление подписки на обновления Mobile SMARTS: Магазин 15 с МОТП, БАЗОВЫЙ для интеграции через TXT, CSV, Excel  на 1 (один) год</v>
      </c>
      <c r="F654" s="5">
        <f ca="1">IFERROR(__xludf.DUMMYFUNCTION("""COMPUTED_VALUE"""),2230)</f>
        <v>2230</v>
      </c>
    </row>
    <row r="655" spans="1:6" ht="72" customHeight="1" x14ac:dyDescent="0.2">
      <c r="A655" s="4" t="str">
        <f ca="1">IFERROR(__xludf.DUMMYFUNCTION("""COMPUTED_VALUE"""),"интеграции через TXT, CSV, Excel")</f>
        <v>интеграции через TXT, CSV, Excel</v>
      </c>
      <c r="B655" s="4" t="str">
        <f ca="1">IFERROR(__xludf.DUMMYFUNCTION("""COMPUTED_VALUE"""),"с МОТП, РАСШИРЕННЫЙ")</f>
        <v>с МОТП, РАСШИРЕННЫЙ</v>
      </c>
      <c r="C655" s="4" t="str">
        <f ca="1">IFERROR(__xludf.DUMMYFUNCTION("""COMPUTED_VALUE"""),"SSY1-RTL15BT-TXT")</f>
        <v>SSY1-RTL15BT-TXT</v>
      </c>
      <c r="D655" s="4" t="str">
        <f ca="1">IFERROR(__xludf.DUMMYFUNCTION("""COMPUTED_VALUE"""),"Продление подписки на обновления Mobile SMARTS: Магазин 15 с МОТП, РАСШИРЕННЫЙ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операции"&amp;":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тов"&amp;"аре,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РАСШИРЕННЫЙ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55" s="4" t="str">
        <f ca="1">IFERROR(__xludf.DUMMYFUNCTION("""COMPUTED_VALUE"""),"Продление подписки на обновления Mobile SMARTS: Магазин 15 с МОТП, РАСШИРЕННЫЙ для интеграции через TXT, CSV, Excel  на 1 (один) год")</f>
        <v>Продление подписки на обновления Mobile SMARTS: Магазин 15 с МОТП, РАСШИРЕННЫЙ для интеграции через TXT, CSV, Excel  на 1 (один) год</v>
      </c>
      <c r="F655" s="5">
        <f ca="1">IFERROR(__xludf.DUMMYFUNCTION("""COMPUTED_VALUE"""),3490)</f>
        <v>3490</v>
      </c>
    </row>
    <row r="656" spans="1:6" ht="72" customHeight="1" x14ac:dyDescent="0.2">
      <c r="A656" s="4" t="str">
        <f ca="1">IFERROR(__xludf.DUMMYFUNCTION("""COMPUTED_VALUE"""),"интеграции через TXT, CSV, Excel")</f>
        <v>интеграции через TXT, CSV, Excel</v>
      </c>
      <c r="B656" s="4" t="str">
        <f ca="1">IFERROR(__xludf.DUMMYFUNCTION("""COMPUTED_VALUE"""),"с МОТП, МЕГАМАРКЕТ")</f>
        <v>с МОТП, МЕГАМАРКЕТ</v>
      </c>
      <c r="C656" s="4" t="str">
        <f ca="1">IFERROR(__xludf.DUMMYFUNCTION("""COMPUTED_VALUE"""),"SSY1-RTL15CT-TXT")</f>
        <v>SSY1-RTL15CT-TXT</v>
      </c>
      <c r="D656" s="4" t="str">
        <f ca="1">IFERROR(__xludf.DUMMYFUNCTION("""COMPUTED_VALUE"""),"Продление подписки на обновления Mobile SMARTS: Магазин 15 с МОТП, МЕГАМАРКЕТ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операции:"&amp;"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рабо"&amp;"та,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МЕГАМАРКЕТ для интеграции через TXT, CSV, Excel /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56" s="4" t="str">
        <f ca="1">IFERROR(__xludf.DUMMYFUNCTION("""COMPUTED_VALUE"""),"Продление подписки на обновления Mobile SMARTS: Магазин 15 с МОТП, МЕГАМАРКЕТ для интеграции через TXT, CSV, Excel  на 1 (один) год")</f>
        <v>Продление подписки на обновления Mobile SMARTS: Магазин 15 с МОТП, МЕГАМАРКЕТ для интеграции через TXT, CSV, Excel  на 1 (один) год</v>
      </c>
      <c r="F656" s="5">
        <f ca="1">IFERROR(__xludf.DUMMYFUNCTION("""COMPUTED_VALUE"""),4770)</f>
        <v>4770</v>
      </c>
    </row>
    <row r="657" spans="1:6" ht="72" customHeight="1" x14ac:dyDescent="0.2">
      <c r="A657" s="4" t="str">
        <f ca="1">IFERROR(__xludf.DUMMYFUNCTION("""COMPUTED_VALUE"""),"интеграции через TXT, CSV, Excel")</f>
        <v>интеграции через TXT, CSV, Excel</v>
      </c>
      <c r="B657" s="4" t="str">
        <f ca="1">IFERROR(__xludf.DUMMYFUNCTION("""COMPUTED_VALUE"""),"с ЕГАИС и МОТП, БАЗОВЫЙ")</f>
        <v>с ЕГАИС и МОТП, БАЗОВЫЙ</v>
      </c>
      <c r="C657" s="4" t="str">
        <f ca="1">IFERROR(__xludf.DUMMYFUNCTION("""COMPUTED_VALUE"""),"SSY1-RTL15AET-TXT")</f>
        <v>SSY1-RTL15AET-TXT</v>
      </c>
      <c r="D657" s="4" t="str">
        <f ca="1">IFERROR(__xludf.DUMMYFUNCTION("""COMPUTED_VALUE"""),"Продление подписки на обновления Mobile SMARTS: Магазин 15 с ЕГАИС и МОТП, БАЗОВЫЙ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нет"&amp;"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"&amp;"КМ),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опера"&amp;"ций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БАЗОВЫЙ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57" s="4" t="str">
        <f ca="1">IFERROR(__xludf.DUMMYFUNCTION("""COMPUTED_VALUE"""),"Продление подписки на обновления Mobile SMARTS: Магазин 15 с ЕГАИС и МОТП, БАЗОВЫЙ для интеграции через TXT, CSV, Excel  на 1 (один) год")</f>
        <v>Продление подписки на обновления Mobile SMARTS: Магазин 15 с ЕГАИС и МОТП, БАЗОВЫЙ для интеграции через TXT, CSV, Excel  на 1 (один) год</v>
      </c>
      <c r="F657" s="5">
        <f ca="1">IFERROR(__xludf.DUMMYFUNCTION("""COMPUTED_VALUE"""),2430)</f>
        <v>2430</v>
      </c>
    </row>
    <row r="658" spans="1:6" ht="72" customHeight="1" x14ac:dyDescent="0.2">
      <c r="A658" s="4" t="str">
        <f ca="1">IFERROR(__xludf.DUMMYFUNCTION("""COMPUTED_VALUE"""),"интеграции через TXT, CSV, Excel")</f>
        <v>интеграции через TXT, CSV, Excel</v>
      </c>
      <c r="B658" s="4" t="str">
        <f ca="1">IFERROR(__xludf.DUMMYFUNCTION("""COMPUTED_VALUE"""),"с ЕГАИС и МОТП, РАСШИРЕННЫЙ")</f>
        <v>с ЕГАИС и МОТП, РАСШИРЕННЫЙ</v>
      </c>
      <c r="C658" s="4" t="str">
        <f ca="1">IFERROR(__xludf.DUMMYFUNCTION("""COMPUTED_VALUE"""),"SSY1-RTL15BET-TXT")</f>
        <v>SSY1-RTL15BET-TXT</v>
      </c>
      <c r="D658" s="4" t="str">
        <f ca="1">IFERROR(__xludf.DUMMYFUNCTION("""COMPUTED_VALUE"""),"Продление подписки на обновления Mobile SMARTS: Магазин 15 с ЕГАИС и МОТП, РАСШИРЕННЫЙ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/"&amp;"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отгрузка"&amp;"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о"&amp;"пераций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РАСШИРЕННЫЙ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58" s="4" t="str">
        <f ca="1">IFERROR(__xludf.DUMMYFUNCTION("""COMPUTED_VALUE"""),"Продление подписки на обновления Mobile SMARTS: Магазин 15 с ЕГАИС и МОТП, РАСШИРЕННЫЙ для интеграции через TXT, CSV, Excel  на 1 (один) год")</f>
        <v>Продление подписки на обновления Mobile SMARTS: Магазин 15 с ЕГАИС и МОТП, РАСШИРЕННЫЙ для интеграции через TXT, CSV, Excel  на 1 (один) год</v>
      </c>
      <c r="F658" s="5">
        <f ca="1">IFERROR(__xludf.DUMMYFUNCTION("""COMPUTED_VALUE"""),3710)</f>
        <v>3710</v>
      </c>
    </row>
    <row r="659" spans="1:6" ht="72" customHeight="1" x14ac:dyDescent="0.2">
      <c r="A659" s="4" t="str">
        <f ca="1">IFERROR(__xludf.DUMMYFUNCTION("""COMPUTED_VALUE"""),"интеграции через TXT, CSV, Excel")</f>
        <v>интеграции через TXT, CSV, Excel</v>
      </c>
      <c r="B659" s="4" t="str">
        <f ca="1">IFERROR(__xludf.DUMMYFUNCTION("""COMPUTED_VALUE"""),"с ЕГАИС и МОТП, МЕГАМАРКЕТ")</f>
        <v>с ЕГАИС и МОТП, МЕГАМАРКЕТ</v>
      </c>
      <c r="C659" s="4" t="str">
        <f ca="1">IFERROR(__xludf.DUMMYFUNCTION("""COMPUTED_VALUE"""),"SSY1-RTL15CET-TXT")</f>
        <v>SSY1-RTL15CET-TXT</v>
      </c>
      <c r="D659" s="4" t="str">
        <f ca="1">IFERROR(__xludf.DUMMYFUNCTION("""COMPUTED_VALUE"""),"Продление подписки на обновления Mobile SMARTS: Магазин 15 с ЕГАИС и МОТП, МЕГАМАРКЕТ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"&amp;"есть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"&amp;"по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изме"&amp;"нение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МЕГАМАРКЕТ для интеграции через TXT, CSV, Excel /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59" s="4" t="str">
        <f ca="1">IFERROR(__xludf.DUMMYFUNCTION("""COMPUTED_VALUE"""),"Продление подписки на обновления Mobile SMARTS: Магазин 15 с ЕГАИС и МОТП, МЕГАМАРКЕТ для интеграции через TXT, CSV, Excel  на 1 (один) год")</f>
        <v>Продление подписки на обновления Mobile SMARTS: Магазин 15 с ЕГАИС и МОТП, МЕГАМАРКЕТ для интеграции через TXT, CSV, Excel  на 1 (один) год</v>
      </c>
      <c r="F659" s="5">
        <f ca="1">IFERROR(__xludf.DUMMYFUNCTION("""COMPUTED_VALUE"""),5270)</f>
        <v>5270</v>
      </c>
    </row>
    <row r="660" spans="1:6" ht="72" customHeight="1" x14ac:dyDescent="0.2">
      <c r="A660" s="4" t="str">
        <f ca="1">IFERROR(__xludf.DUMMYFUNCTION("""COMPUTED_VALUE"""),"интеграции через TXT, CSV, Excel")</f>
        <v>интеграции через TXT, CSV, Excel</v>
      </c>
      <c r="B660" s="4" t="str">
        <f ca="1">IFERROR(__xludf.DUMMYFUNCTION("""COMPUTED_VALUE"""),"ШМОТКИ, БАЗОВЫЙ")</f>
        <v>ШМОТКИ, БАЗОВЫЙ</v>
      </c>
      <c r="C660" s="4" t="str">
        <f ca="1">IFERROR(__xludf.DUMMYFUNCTION("""COMPUTED_VALUE"""),"SSY1-RTL15AK-TXT")</f>
        <v>SSY1-RTL15AK-TXT</v>
      </c>
      <c r="D660" s="4" t="str">
        <f ca="1">IFERROR(__xludf.DUMMYFUNCTION("""COMPUTED_VALUE"""),"Продление подписки на обновления Mobile SMARTS: Магазин 15 с КИРОВКОЙ, БАЗОВЫЙ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нет он"&amp;"лайна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КИРОВКОЙ, БАЗОВЫЙ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60" s="4" t="str">
        <f ca="1">IFERROR(__xludf.DUMMYFUNCTION("""COMPUTED_VALUE"""),"Продление подписки на обновления Mobile SMARTS: Магазин 15 с КИРОВКОЙ, БАЗОВЫЙ для интеграции через TXT, CSV, Excel  на 1 (один) год")</f>
        <v>Продление подписки на обновления Mobile SMARTS: Магазин 15 с КИРОВКОЙ, БАЗОВЫЙ для интеграции через TXT, CSV, Excel  на 1 (один) год</v>
      </c>
      <c r="F660" s="5">
        <f ca="1">IFERROR(__xludf.DUMMYFUNCTION("""COMPUTED_VALUE"""),2430)</f>
        <v>2430</v>
      </c>
    </row>
    <row r="661" spans="1:6" ht="72" customHeight="1" x14ac:dyDescent="0.2">
      <c r="A661" s="4" t="str">
        <f ca="1">IFERROR(__xludf.DUMMYFUNCTION("""COMPUTED_VALUE"""),"интеграции через TXT, CSV, Excel")</f>
        <v>интеграции через TXT, CSV, Excel</v>
      </c>
      <c r="B661" s="4" t="str">
        <f ca="1">IFERROR(__xludf.DUMMYFUNCTION("""COMPUTED_VALUE"""),"ШМОТКИ, РАСШИРЕННЫЙ")</f>
        <v>ШМОТКИ, РАСШИРЕННЫЙ</v>
      </c>
      <c r="C661" s="4" t="str">
        <f ca="1">IFERROR(__xludf.DUMMYFUNCTION("""COMPUTED_VALUE"""),"SSY1-RTL15BK-TXT")</f>
        <v>SSY1-RTL15BK-TXT</v>
      </c>
      <c r="D661" s="4" t="str">
        <f ca="1">IFERROR(__xludf.DUMMYFUNCTION("""COMPUTED_VALUE"""),"Продление подписки на обновления Mobile SMARTS: Магазин 15 с КИРОВКОЙ, РАСШИРЕННЫЙ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ес"&amp;"ть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/"&amp;"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КИРОВКОЙ, РАСШИРЕННЫЙ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61" s="4" t="str">
        <f ca="1">IFERROR(__xludf.DUMMYFUNCTION("""COMPUTED_VALUE"""),"Продление подписки на обновления Mobile SMARTS: Магазин 15 с КИРОВКОЙ, РАСШИРЕННЫЙ для интеграции через TXT, CSV, Excel  на 1 (один) год")</f>
        <v>Продление подписки на обновления Mobile SMARTS: Магазин 15 с КИРОВКОЙ, РАСШИРЕННЫЙ для интеграции через TXT, CSV, Excel  на 1 (один) год</v>
      </c>
      <c r="F661" s="5">
        <f ca="1">IFERROR(__xludf.DUMMYFUNCTION("""COMPUTED_VALUE"""),3710)</f>
        <v>3710</v>
      </c>
    </row>
    <row r="662" spans="1:6" ht="72" customHeight="1" x14ac:dyDescent="0.2">
      <c r="A662" s="4" t="str">
        <f ca="1">IFERROR(__xludf.DUMMYFUNCTION("""COMPUTED_VALUE"""),"интеграции через TXT, CSV, Excel")</f>
        <v>интеграции через TXT, CSV, Excel</v>
      </c>
      <c r="B662" s="4" t="str">
        <f ca="1">IFERROR(__xludf.DUMMYFUNCTION("""COMPUTED_VALUE"""),"ШМОТКИ, МЕГАМАРКЕТ")</f>
        <v>ШМОТКИ, МЕГАМАРКЕТ</v>
      </c>
      <c r="C662" s="4" t="str">
        <f ca="1">IFERROR(__xludf.DUMMYFUNCTION("""COMPUTED_VALUE"""),"SSY1-RTL15CK-TXT")</f>
        <v>SSY1-RTL15CK-TXT</v>
      </c>
      <c r="D662" s="4" t="str">
        <f ca="1">IFERROR(__xludf.DUMMYFUNCTION("""COMPUTED_VALUE"""),"Продление подписки на обновления Mobile SMARTS: Магазин 15 с КИРОВКОЙ, МЕГАМАРКЕТ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ест"&amp;"ь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"&amp;"возможности: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КИРОВКОЙ, МЕГАМАРКЕТ для интеграции через TXT, CSV, Excel /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62" s="4" t="str">
        <f ca="1">IFERROR(__xludf.DUMMYFUNCTION("""COMPUTED_VALUE"""),"Продление подписки на обновления Mobile SMARTS: Магазин 15 с КИРОВКОЙ, МЕГАМАРКЕТ для интеграции через TXT, CSV, Excel  на 1 (один) год")</f>
        <v>Продление подписки на обновления Mobile SMARTS: Магазин 15 с КИРОВКОЙ, МЕГАМАРКЕТ для интеграции через TXT, CSV, Excel  на 1 (один) год</v>
      </c>
      <c r="F662" s="5">
        <f ca="1">IFERROR(__xludf.DUMMYFUNCTION("""COMPUTED_VALUE"""),5270)</f>
        <v>5270</v>
      </c>
    </row>
    <row r="663" spans="1:6" ht="72" customHeight="1" x14ac:dyDescent="0.2">
      <c r="A663" s="4" t="str">
        <f ca="1">IFERROR(__xludf.DUMMYFUNCTION("""COMPUTED_VALUE"""),"интеграции через TXT, CSV, Excel")</f>
        <v>интеграции через TXT, CSV, Excel</v>
      </c>
      <c r="B663" s="4" t="str">
        <f ca="1">IFERROR(__xludf.DUMMYFUNCTION("""COMPUTED_VALUE"""),"с МДЛП, БАЗОВЫЙ")</f>
        <v>с МДЛП, БАЗОВЫЙ</v>
      </c>
      <c r="C663" s="4" t="str">
        <f ca="1">IFERROR(__xludf.DUMMYFUNCTION("""COMPUTED_VALUE"""),"SSY1-RTL15AL-TXT")</f>
        <v>SSY1-RTL15AL-TXT</v>
      </c>
      <c r="D663" s="4" t="str">
        <f ca="1">IFERROR(__xludf.DUMMYFUNCTION("""COMPUTED_VALUE"""),"Продление подписки на обновления Mobile SMARTS: Магазин 15 с МДЛП, БАЗОВЫЙ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нет онлайна / досту"&amp;"пные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инф"&amp;"ормация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МДЛП, БАЗОВЫЙ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63" s="4" t="str">
        <f ca="1">IFERROR(__xludf.DUMMYFUNCTION("""COMPUTED_VALUE"""),"Продление подписки на обновления Mobile SMARTS: Магазин 15 с МДЛП, БАЗОВЫЙ для интеграции через TXT, CSV, Excel  на 1 (один) год")</f>
        <v>Продление подписки на обновления Mobile SMARTS: Магазин 15 с МДЛП, БАЗОВЫЙ для интеграции через TXT, CSV, Excel  на 1 (один) год</v>
      </c>
      <c r="F663" s="5">
        <f ca="1">IFERROR(__xludf.DUMMYFUNCTION("""COMPUTED_VALUE"""),1691.6)</f>
        <v>1691.6</v>
      </c>
    </row>
    <row r="664" spans="1:6" ht="72" customHeight="1" x14ac:dyDescent="0.2">
      <c r="A664" s="4" t="str">
        <f ca="1">IFERROR(__xludf.DUMMYFUNCTION("""COMPUTED_VALUE"""),"интеграции через TXT, CSV, Excel")</f>
        <v>интеграции через TXT, CSV, Excel</v>
      </c>
      <c r="B664" s="4" t="str">
        <f ca="1">IFERROR(__xludf.DUMMYFUNCTION("""COMPUTED_VALUE"""),"с МДЛП, РАСШИРЕННЫЙ")</f>
        <v>с МДЛП, РАСШИРЕННЫЙ</v>
      </c>
      <c r="C664" s="4" t="str">
        <f ca="1">IFERROR(__xludf.DUMMYFUNCTION("""COMPUTED_VALUE"""),"SSY1-RTL15BL-TXT")</f>
        <v>SSY1-RTL15BL-TXT</v>
      </c>
      <c r="D664" s="4" t="str">
        <f ca="1">IFERROR(__xludf.DUMMYFUNCTION("""COMPUTED_VALUE"""),"Продление подписки на обновления Mobile SMARTS: Магазин 15 с МДЛП, РАСШИРЕННЫЙ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д"&amp;"оступные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МДЛП, РАСШИРЕННЫЙ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64" s="4" t="str">
        <f ca="1">IFERROR(__xludf.DUMMYFUNCTION("""COMPUTED_VALUE"""),"Продление подписки на обновления Mobile SMARTS: Магазин 15 с МДЛП, РАСШИРЕННЫЙ для интеграции через TXT, CSV, Excel  на 1 (один) год")</f>
        <v>Продление подписки на обновления Mobile SMARTS: Магазин 15 с МДЛП, РАСШИРЕННЫЙ для интеграции через TXT, CSV, Excel  на 1 (один) год</v>
      </c>
      <c r="F664" s="5">
        <f ca="1">IFERROR(__xludf.DUMMYFUNCTION("""COMPUTED_VALUE"""),2675.6)</f>
        <v>2675.6</v>
      </c>
    </row>
    <row r="665" spans="1:6" ht="72" customHeight="1" x14ac:dyDescent="0.2">
      <c r="A665" s="4" t="str">
        <f ca="1">IFERROR(__xludf.DUMMYFUNCTION("""COMPUTED_VALUE"""),"интеграции через TXT, CSV, Excel")</f>
        <v>интеграции через TXT, CSV, Excel</v>
      </c>
      <c r="B665" s="4" t="str">
        <f ca="1">IFERROR(__xludf.DUMMYFUNCTION("""COMPUTED_VALUE"""),"с МДЛП, МЕГАМАРКЕТ")</f>
        <v>с МДЛП, МЕГАМАРКЕТ</v>
      </c>
      <c r="C665" s="4" t="str">
        <f ca="1">IFERROR(__xludf.DUMMYFUNCTION("""COMPUTED_VALUE"""),"SSY1-RTL15CL-TXT")</f>
        <v>SSY1-RTL15CL-TXT</v>
      </c>
      <c r="D665" s="4" t="str">
        <f ca="1">IFERROR(__xludf.DUMMYFUNCTION("""COMPUTED_VALUE"""),"Продление подписки на обновления Mobile SMARTS: Магазин 15 с МДЛП, МЕГАМАРКЕТ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до"&amp;"ступные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"&amp;"коллективная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МДЛП, МЕГАМАРКЕТ для интеграции через TXT, CSV, Excel /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65" s="4" t="str">
        <f ca="1">IFERROR(__xludf.DUMMYFUNCTION("""COMPUTED_VALUE"""),"Продление подписки на обновления Mobile SMARTS: Магазин 15 с МДЛП, МЕГАМАРКЕТ для интеграции через TXT, CSV, Excel  на 1 (один) год")</f>
        <v>Продление подписки на обновления Mobile SMARTS: Магазин 15 с МДЛП, МЕГАМАРКЕТ для интеграции через TXT, CSV, Excel  на 1 (один) год</v>
      </c>
      <c r="F665" s="5">
        <f ca="1">IFERROR(__xludf.DUMMYFUNCTION("""COMPUTED_VALUE"""),4139.6)</f>
        <v>4139.6000000000004</v>
      </c>
    </row>
    <row r="666" spans="1:6" ht="72" customHeight="1" x14ac:dyDescent="0.2">
      <c r="A666" s="4" t="str">
        <f ca="1">IFERROR(__xludf.DUMMYFUNCTION("""COMPUTED_VALUE"""),"интеграции через TXT, CSV, Excel")</f>
        <v>интеграции через TXT, CSV, Excel</v>
      </c>
      <c r="B666" s="4" t="str">
        <f ca="1">IFERROR(__xludf.DUMMYFUNCTION("""COMPUTED_VALUE"""),"ПРОДУКТОВЫЙ, БАЗОВЫЙ")</f>
        <v>ПРОДУКТОВЫЙ, БАЗОВЫЙ</v>
      </c>
      <c r="C666" s="4" t="str">
        <f ca="1">IFERROR(__xludf.DUMMYFUNCTION("""COMPUTED_VALUE"""),"SSY1-RTL15AG-TXT")</f>
        <v>SSY1-RTL15AG-TXT</v>
      </c>
      <c r="D666" s="4" t="str">
        <f ca="1">IFERROR(__xludf.DUMMYFUNCTION("""COMPUTED_VALUE"""),"Продление подписки на обновления Mobile SMARTS: Магазин 15 ПРОДУКТОВЫЙ, БАЗОВЫЙ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МОЛОКО"&amp;",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инвентаризац"&amp;"ия,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возмо"&amp;"жности: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66" s="4" t="str">
        <f ca="1">IFERROR(__xludf.DUMMYFUNCTION("""COMPUTED_VALUE"""),"Продление подписки на обновления Mobile SMARTS: Магазин 15 ПРОДУКТОВЫЙ, БАЗОВЫЙ для интеграции через TXT, CSV, Excel  на 1 (один) год")</f>
        <v>Продление подписки на обновления Mobile SMARTS: Магазин 15 ПРОДУКТОВЫЙ, БАЗОВЫЙ для интеграции через TXT, CSV, Excel  на 1 (один) год</v>
      </c>
      <c r="F666" s="5">
        <f ca="1">IFERROR(__xludf.DUMMYFUNCTION("""COMPUTED_VALUE"""),2231.6)</f>
        <v>2231.6</v>
      </c>
    </row>
    <row r="667" spans="1:6" ht="72" customHeight="1" x14ac:dyDescent="0.2">
      <c r="A667" s="4" t="str">
        <f ca="1">IFERROR(__xludf.DUMMYFUNCTION("""COMPUTED_VALUE"""),"интеграции через TXT, CSV, Excel")</f>
        <v>интеграции через TXT, CSV, Excel</v>
      </c>
      <c r="B667" s="4" t="str">
        <f ca="1">IFERROR(__xludf.DUMMYFUNCTION("""COMPUTED_VALUE"""),"ПРОДУКТОВЫЙ, РАСШИРЕННЫЙ")</f>
        <v>ПРОДУКТОВЫЙ, РАСШИРЕННЫЙ</v>
      </c>
      <c r="C667" s="4" t="str">
        <f ca="1">IFERROR(__xludf.DUMMYFUNCTION("""COMPUTED_VALUE"""),"SSY1-RTL15BG-TXT")</f>
        <v>SSY1-RTL15BG-TXT</v>
      </c>
      <c r="D667" s="4" t="str">
        <f ca="1">IFERROR(__xludf.DUMMYFUNCTION("""COMPUTED_VALUE"""),"Продление подписки на обновления Mobile SMARTS: Магазин 15 ПРОДУКТОВЫЙ, РАСШИРЕННЫЙ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МО"&amp;"ЛОКО,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инвентар"&amp;"изация,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в"&amp;"озможности: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67" s="4" t="str">
        <f ca="1">IFERROR(__xludf.DUMMYFUNCTION("""COMPUTED_VALUE"""),"Продление подписки на обновления Mobile SMARTS: Магазин 15 ПРОДУКТОВЫЙ, РАСШИРЕННЫЙ для интеграции через TXT, CSV, Excel  на 1 (один) год")</f>
        <v>Продление подписки на обновления Mobile SMARTS: Магазин 15 ПРОДУКТОВЫЙ, РАСШИРЕННЫЙ для интеграции через TXT, CSV, Excel  на 1 (один) год</v>
      </c>
      <c r="F667" s="5">
        <f ca="1">IFERROR(__xludf.DUMMYFUNCTION("""COMPUTED_VALUE"""),3215.6)</f>
        <v>3215.6</v>
      </c>
    </row>
    <row r="668" spans="1:6" ht="72" customHeight="1" x14ac:dyDescent="0.2">
      <c r="A668" s="4" t="str">
        <f ca="1">IFERROR(__xludf.DUMMYFUNCTION("""COMPUTED_VALUE"""),"интеграции через TXT, CSV, Excel")</f>
        <v>интеграции через TXT, CSV, Excel</v>
      </c>
      <c r="B668" s="4" t="str">
        <f ca="1">IFERROR(__xludf.DUMMYFUNCTION("""COMPUTED_VALUE"""),"ПРОДУКТОВЫЙ, МЕГАМАРКЕТ")</f>
        <v>ПРОДУКТОВЫЙ, МЕГАМАРКЕТ</v>
      </c>
      <c r="C668" s="4" t="str">
        <f ca="1">IFERROR(__xludf.DUMMYFUNCTION("""COMPUTED_VALUE"""),"SSY1-RTL15CG-TXT")</f>
        <v>SSY1-RTL15CG-TXT</v>
      </c>
      <c r="D668" s="4" t="str">
        <f ca="1">IFERROR(__xludf.DUMMYFUNCTION("""COMPUTED_VALUE"""),"Продление подписки на обновления Mobile SMARTS: Магазин 15 ПРОДУКТОВЫЙ, МЕГАМАРКЕТ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МОЛ"&amp;"ОКО,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инвентари"&amp;"зация,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во"&amp;"зможности: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МЕГАМАРКЕТ для интеграции через TXT, CSV, Excel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68" s="4" t="str">
        <f ca="1">IFERROR(__xludf.DUMMYFUNCTION("""COMPUTED_VALUE"""),"Продление подписки на обновления Mobile SMARTS: Магазин 15 ПРОДУКТОВЫЙ, МЕГАМАРКЕТ для интеграции через TXT, CSV, Excel  на 1 (один) год")</f>
        <v>Продление подписки на обновления Mobile SMARTS: Магазин 15 ПРОДУКТОВЫЙ, МЕГАМАРКЕТ для интеграции через TXT, CSV, Excel  на 1 (один) год</v>
      </c>
      <c r="F668" s="5">
        <f ca="1">IFERROR(__xludf.DUMMYFUNCTION("""COMPUTED_VALUE"""),5633.8)</f>
        <v>5633.8</v>
      </c>
    </row>
    <row r="669" spans="1:6" ht="72" customHeight="1" x14ac:dyDescent="0.2">
      <c r="A669" s="4" t="str">
        <f ca="1">IFERROR(__xludf.DUMMYFUNCTION("""COMPUTED_VALUE"""),"интеграции через REST API")</f>
        <v>интеграции через REST API</v>
      </c>
      <c r="B669" s="4" t="str">
        <f ca="1">IFERROR(__xludf.DUMMYFUNCTION("""COMPUTED_VALUE"""),"МИНИМУМ")</f>
        <v>МИНИМУМ</v>
      </c>
      <c r="C669" s="4" t="str">
        <f ca="1">IFERROR(__xludf.DUMMYFUNCTION("""COMPUTED_VALUE"""),"SSY1-RTL15M-REST")</f>
        <v>SSY1-RTL15M-REST</v>
      </c>
      <c r="D669" s="4" t="str">
        <f ca="1">IFERROR(__xludf.DUMMYFUNCTION("""COMPUTED_VALUE"""),"Продление подписки на обновления Mobile SMARTS: Магазин 15, МИНИМУМ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нет"&amp;"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(один) го"&amp;"д")</f>
        <v>Продление подписки на обновления Mobile SMARTS: Магазин 15, МИНИМУМ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(один) год</v>
      </c>
      <c r="E669" s="4" t="str">
        <f ca="1">IFERROR(__xludf.DUMMYFUNCTION("""COMPUTED_VALUE"""),"Продление подписки на обновления Mobile SMARTS: Магазин 15, МИНИМУМ для интеграции через REST API  на 1 (один) год")</f>
        <v>Продление подписки на обновления Mobile SMARTS: Магазин 15, МИНИМУМ для интеграции через REST API  на 1 (один) год</v>
      </c>
      <c r="F669" s="5">
        <f ca="1">IFERROR(__xludf.DUMMYFUNCTION("""COMPUTED_VALUE"""),1090)</f>
        <v>1090</v>
      </c>
    </row>
    <row r="670" spans="1:6" ht="72" customHeight="1" x14ac:dyDescent="0.2">
      <c r="A670" s="4" t="str">
        <f ca="1">IFERROR(__xludf.DUMMYFUNCTION("""COMPUTED_VALUE"""),"интеграции через REST API")</f>
        <v>интеграции через REST API</v>
      </c>
      <c r="B670" s="4" t="str">
        <f ca="1">IFERROR(__xludf.DUMMYFUNCTION("""COMPUTED_VALUE"""),"БАЗОВЫЙ")</f>
        <v>БАЗОВЫЙ</v>
      </c>
      <c r="C670" s="4" t="str">
        <f ca="1">IFERROR(__xludf.DUMMYFUNCTION("""COMPUTED_VALUE"""),"SSY1-RTL15A-REST")</f>
        <v>SSY1-RTL15A-REST</v>
      </c>
      <c r="D670" s="4" t="str">
        <f ca="1">IFERROR(__xludf.DUMMYFUNCTION("""COMPUTED_VALUE"""),"Продление подписки на обновления Mobile SMARTS: Магазин 15, БАЗОВЫЙ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нет"&amp;"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к"&amp;"онтрагентах,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БАЗОВЫЙ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70" s="4" t="str">
        <f ca="1">IFERROR(__xludf.DUMMYFUNCTION("""COMPUTED_VALUE"""),"Продление подписки на обновления Mobile SMARTS: Магазин 15, БАЗОВЫЙ для интеграции через REST API  на 1 (один) год")</f>
        <v>Продление подписки на обновления Mobile SMARTS: Магазин 15, БАЗОВЫЙ для интеграции через REST API  на 1 (один) год</v>
      </c>
      <c r="F670" s="5">
        <f ca="1">IFERROR(__xludf.DUMMYFUNCTION("""COMPUTED_VALUE"""),2130)</f>
        <v>2130</v>
      </c>
    </row>
    <row r="671" spans="1:6" ht="72" customHeight="1" x14ac:dyDescent="0.2">
      <c r="A671" s="4" t="str">
        <f ca="1">IFERROR(__xludf.DUMMYFUNCTION("""COMPUTED_VALUE"""),"интеграции через REST API")</f>
        <v>интеграции через REST API</v>
      </c>
      <c r="B671" s="4" t="str">
        <f ca="1">IFERROR(__xludf.DUMMYFUNCTION("""COMPUTED_VALUE"""),"РАСШИРЕННЫЙ")</f>
        <v>РАСШИРЕННЫЙ</v>
      </c>
      <c r="C671" s="4" t="str">
        <f ca="1">IFERROR(__xludf.DUMMYFUNCTION("""COMPUTED_VALUE"""),"SSY1-RTL15B-REST")</f>
        <v>SSY1-RTL15B-REST</v>
      </c>
      <c r="D671" s="4" t="str">
        <f ca="1">IFERROR(__xludf.DUMMYFUNCTION("""COMPUTED_VALUE"""),"Продление подписки на обновления Mobile SMARTS: Магазин 15, РАСШИРЕННЫЙ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/"&amp;"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склада"&amp;"х,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РАСШИРЕННЫЙ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71" s="4" t="str">
        <f ca="1">IFERROR(__xludf.DUMMYFUNCTION("""COMPUTED_VALUE"""),"Продление подписки на обновления Mobile SMARTS: Магазин 15, РАСШИРЕННЫЙ для интеграции через REST API  на 1 (один) год")</f>
        <v>Продление подписки на обновления Mobile SMARTS: Магазин 15, РАСШИРЕННЫЙ для интеграции через REST API  на 1 (один) год</v>
      </c>
      <c r="F671" s="5">
        <f ca="1">IFERROR(__xludf.DUMMYFUNCTION("""COMPUTED_VALUE"""),3410)</f>
        <v>3410</v>
      </c>
    </row>
    <row r="672" spans="1:6" ht="72" customHeight="1" x14ac:dyDescent="0.2">
      <c r="A672" s="4" t="str">
        <f ca="1">IFERROR(__xludf.DUMMYFUNCTION("""COMPUTED_VALUE"""),"интеграции через REST API")</f>
        <v>интеграции через REST API</v>
      </c>
      <c r="B672" s="4" t="str">
        <f ca="1">IFERROR(__xludf.DUMMYFUNCTION("""COMPUTED_VALUE"""),"МЕГАМАРКЕТ")</f>
        <v>МЕГАМАРКЕТ</v>
      </c>
      <c r="C672" s="4" t="str">
        <f ca="1">IFERROR(__xludf.DUMMYFUNCTION("""COMPUTED_VALUE"""),"SSY1-RTL15C-REST")</f>
        <v>SSY1-RTL15C-REST</v>
      </c>
      <c r="D672" s="4" t="str">
        <f ca="1">IFERROR(__xludf.DUMMYFUNCTION("""COMPUTED_VALUE"""),"Продление подписки на обновления Mobile SMARTS: Магазин 15, МЕГАМАРКЕТ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"&amp;"есть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информа"&amp;"ция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МЕГАМАРКЕТ для интеграции через REST API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72" s="4" t="str">
        <f ca="1">IFERROR(__xludf.DUMMYFUNCTION("""COMPUTED_VALUE"""),"Продление подписки на обновления Mobile SMARTS: Магазин 15, МЕГАМАРКЕТ для интеграции через REST API  на 1 (один) год")</f>
        <v>Продление подписки на обновления Mobile SMARTS: Магазин 15, МЕГАМАРКЕТ для интеграции через REST API  на 1 (один) год</v>
      </c>
      <c r="F672" s="5">
        <f ca="1">IFERROR(__xludf.DUMMYFUNCTION("""COMPUTED_VALUE"""),4710)</f>
        <v>4710</v>
      </c>
    </row>
    <row r="673" spans="1:6" ht="72" customHeight="1" x14ac:dyDescent="0.2">
      <c r="A673" s="4" t="str">
        <f ca="1">IFERROR(__xludf.DUMMYFUNCTION("""COMPUTED_VALUE"""),"интеграции через REST API")</f>
        <v>интеграции через REST API</v>
      </c>
      <c r="B673" s="4" t="str">
        <f ca="1">IFERROR(__xludf.DUMMYFUNCTION("""COMPUTED_VALUE"""),"с ЕГАИС, БАЗОВЫЙ")</f>
        <v>с ЕГАИС, БАЗОВЫЙ</v>
      </c>
      <c r="C673" s="4" t="str">
        <f ca="1">IFERROR(__xludf.DUMMYFUNCTION("""COMPUTED_VALUE"""),"SSY1-RTL15AE-REST")</f>
        <v>SSY1-RTL15AE-REST</v>
      </c>
      <c r="D673" s="4" t="str">
        <f ca="1">IFERROR(__xludf.DUMMYFUNCTION("""COMPUTED_VALUE"""),"Продление подписки на обновления Mobile SMARTS: Магазин 15 с ЕГАИС, БАЗОВЫЙ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выбо"&amp;"р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справочник"&amp;"ов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год")</f>
        <v>Продление подписки на обновления Mobile SMARTS: Магазин 15 с ЕГАИС, БАЗОВЫЙ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</v>
      </c>
      <c r="E673" s="4" t="str">
        <f ca="1">IFERROR(__xludf.DUMMYFUNCTION("""COMPUTED_VALUE"""),"Продление подписки на обновления Mobile SMARTS: Магазин 15 с ЕГАИС, БАЗОВЫЙ для интеграции через REST API  на 1 (один) год")</f>
        <v>Продление подписки на обновления Mobile SMARTS: Магазин 15 с ЕГАИС, БАЗОВЫЙ для интеграции через REST API  на 1 (один) год</v>
      </c>
      <c r="F673" s="5">
        <f ca="1">IFERROR(__xludf.DUMMYFUNCTION("""COMPUTED_VALUE"""),2600)</f>
        <v>2600</v>
      </c>
    </row>
    <row r="674" spans="1:6" ht="72" customHeight="1" x14ac:dyDescent="0.2">
      <c r="A674" s="4" t="str">
        <f ca="1">IFERROR(__xludf.DUMMYFUNCTION("""COMPUTED_VALUE"""),"интеграции через REST API")</f>
        <v>интеграции через REST API</v>
      </c>
      <c r="B674" s="4" t="str">
        <f ca="1">IFERROR(__xludf.DUMMYFUNCTION("""COMPUTED_VALUE"""),"с ЕГАИС, РАСШИРЕННЫЙ")</f>
        <v>с ЕГАИС, РАСШИРЕННЫЙ</v>
      </c>
      <c r="C674" s="4" t="str">
        <f ca="1">IFERROR(__xludf.DUMMYFUNCTION("""COMPUTED_VALUE"""),"SSY1-RTL15BE-REST")</f>
        <v>SSY1-RTL15BE-REST</v>
      </c>
      <c r="D674" s="4" t="str">
        <f ca="1">IFERROR(__xludf.DUMMYFUNCTION("""COMPUTED_VALUE"""),"Продление подписки на обновления Mobile SMARTS: Магазин 15 с ЕГАИС, РАСШИРЕННЫЙ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"&amp;"выбор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справо"&amp;"чников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ЕГАИС, РАСШИРЕННЫЙ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74" s="4" t="str">
        <f ca="1">IFERROR(__xludf.DUMMYFUNCTION("""COMPUTED_VALUE"""),"Продление подписки на обновления Mobile SMARTS: Магазин 15 с ЕГАИС, РАСШИРЕННЫЙ для интеграции через REST API  на 1 (один) год")</f>
        <v>Продление подписки на обновления Mobile SMARTS: Магазин 15 с ЕГАИС, РАСШИРЕННЫЙ для интеграции через REST API  на 1 (один) год</v>
      </c>
      <c r="F674" s="5">
        <f ca="1">IFERROR(__xludf.DUMMYFUNCTION("""COMPUTED_VALUE"""),3890)</f>
        <v>3890</v>
      </c>
    </row>
    <row r="675" spans="1:6" ht="72" customHeight="1" x14ac:dyDescent="0.2">
      <c r="A675" s="4" t="str">
        <f ca="1">IFERROR(__xludf.DUMMYFUNCTION("""COMPUTED_VALUE"""),"интеграции через REST API")</f>
        <v>интеграции через REST API</v>
      </c>
      <c r="B675" s="4" t="str">
        <f ca="1">IFERROR(__xludf.DUMMYFUNCTION("""COMPUTED_VALUE"""),"с ЕГАИС (без CheckMark2), МЕГАМАРКЕТ")</f>
        <v>с ЕГАИС (без CheckMark2), МЕГАМАРКЕТ</v>
      </c>
      <c r="C675" s="4" t="str">
        <f ca="1">IFERROR(__xludf.DUMMYFUNCTION("""COMPUTED_VALUE"""),"SSY1-RTL15CEV-REST")</f>
        <v>SSY1-RTL15CEV-REST</v>
      </c>
      <c r="D675" s="4" t="str">
        <f ca="1">IFERROR(__xludf.DUMMYFUNCTION("""COMPUTED_VALUE"""),"Продление подписки на обновления Mobile SMARTS: Магазин 15 с ЕГАИС (без CheckMark2), МЕГАМАРКЕТ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"&amp;"штрихкодам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штрихкодов,"&amp;"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устро"&amp;"йство на 1 (один) год")</f>
        <v>Продление подписки на обновления Mobile SMARTS: Магазин 15 с ЕГАИС (без CheckMark2), МЕГАМАРКЕТ для интеграции через REST API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75" s="4" t="str">
        <f ca="1">IFERROR(__xludf.DUMMYFUNCTION("""COMPUTED_VALUE"""),"Продление подписки на обновления Mobile SMARTS: Магазин 15 с ЕГАИС (без CheckMark2), МЕГАМАРКЕТ для интеграции через REST API  на 1 (один) год")</f>
        <v>Продление подписки на обновления Mobile SMARTS: Магазин 15 с ЕГАИС (без CheckMark2), МЕГАМАРКЕТ для интеграции через REST API  на 1 (один) год</v>
      </c>
      <c r="F675" s="5">
        <f ca="1">IFERROR(__xludf.DUMMYFUNCTION("""COMPUTED_VALUE"""),5170)</f>
        <v>5170</v>
      </c>
    </row>
    <row r="676" spans="1:6" ht="72" customHeight="1" x14ac:dyDescent="0.2">
      <c r="A676" s="4" t="str">
        <f ca="1">IFERROR(__xludf.DUMMYFUNCTION("""COMPUTED_VALUE"""),"интеграции через REST API")</f>
        <v>интеграции через REST API</v>
      </c>
      <c r="B676" s="4" t="str">
        <f ca="1">IFERROR(__xludf.DUMMYFUNCTION("""COMPUTED_VALUE"""),"с МОТП, БАЗОВЫЙ")</f>
        <v>с МОТП, БАЗОВЫЙ</v>
      </c>
      <c r="C676" s="4" t="str">
        <f ca="1">IFERROR(__xludf.DUMMYFUNCTION("""COMPUTED_VALUE"""),"SSY1-RTL15AT-REST")</f>
        <v>SSY1-RTL15AT-REST</v>
      </c>
      <c r="D676" s="4" t="str">
        <f ca="1">IFERROR(__xludf.DUMMYFUNCTION("""COMPUTED_VALUE"""),"Продление подписки на обновления Mobile SMARTS: Магазин 15 с МОТП, БАЗОВЫЙ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проводн"&amp;"ой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прос"&amp;"мотр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БАЗОВЫЙ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76" s="4" t="str">
        <f ca="1">IFERROR(__xludf.DUMMYFUNCTION("""COMPUTED_VALUE"""),"Продление подписки на обновления Mobile SMARTS: Магазин 15 с МОТП, БАЗОВЫЙ для интеграции через REST API  на 1 (один) год")</f>
        <v>Продление подписки на обновления Mobile SMARTS: Магазин 15 с МОТП, БАЗОВЫЙ для интеграции через REST API  на 1 (один) год</v>
      </c>
      <c r="F676" s="5">
        <f ca="1">IFERROR(__xludf.DUMMYFUNCTION("""COMPUTED_VALUE"""),2630)</f>
        <v>2630</v>
      </c>
    </row>
    <row r="677" spans="1:6" ht="72" customHeight="1" x14ac:dyDescent="0.2">
      <c r="A677" s="4" t="str">
        <f ca="1">IFERROR(__xludf.DUMMYFUNCTION("""COMPUTED_VALUE"""),"интеграции через REST API")</f>
        <v>интеграции через REST API</v>
      </c>
      <c r="B677" s="4" t="str">
        <f ca="1">IFERROR(__xludf.DUMMYFUNCTION("""COMPUTED_VALUE"""),"с МОТП, РАСШИРЕННЫЙ")</f>
        <v>с МОТП, РАСШИРЕННЫЙ</v>
      </c>
      <c r="C677" s="4" t="str">
        <f ca="1">IFERROR(__xludf.DUMMYFUNCTION("""COMPUTED_VALUE"""),"SSY1-RTL15BT-REST")</f>
        <v>SSY1-RTL15BT-REST</v>
      </c>
      <c r="D677" s="4" t="str">
        <f ca="1">IFERROR(__xludf.DUMMYFUNCTION("""COMPUTED_VALUE"""),"Продление подписки на обновления Mobile SMARTS: Магазин 15 с МОТП, РАСШИРЕННЫЙ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про"&amp;"водной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"&amp;"просмотр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РАСШИРЕННЫЙ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77" s="4" t="str">
        <f ca="1">IFERROR(__xludf.DUMMYFUNCTION("""COMPUTED_VALUE"""),"Продление подписки на обновления Mobile SMARTS: Магазин 15 с МОТП, РАСШИРЕННЫЙ для интеграции через REST API  на 1 (один) год")</f>
        <v>Продление подписки на обновления Mobile SMARTS: Магазин 15 с МОТП, РАСШИРЕННЫЙ для интеграции через REST API  на 1 (один) год</v>
      </c>
      <c r="F677" s="5">
        <f ca="1">IFERROR(__xludf.DUMMYFUNCTION("""COMPUTED_VALUE"""),3890)</f>
        <v>3890</v>
      </c>
    </row>
    <row r="678" spans="1:6" ht="72" customHeight="1" x14ac:dyDescent="0.2">
      <c r="A678" s="4" t="str">
        <f ca="1">IFERROR(__xludf.DUMMYFUNCTION("""COMPUTED_VALUE"""),"интеграции через REST API")</f>
        <v>интеграции через REST API</v>
      </c>
      <c r="B678" s="4" t="str">
        <f ca="1">IFERROR(__xludf.DUMMYFUNCTION("""COMPUTED_VALUE"""),"с МОТП, МЕГАМАРКЕТ")</f>
        <v>с МОТП, МЕГАМАРКЕТ</v>
      </c>
      <c r="C678" s="4" t="str">
        <f ca="1">IFERROR(__xludf.DUMMYFUNCTION("""COMPUTED_VALUE"""),"SSY1-RTL15CT-REST")</f>
        <v>SSY1-RTL15CT-REST</v>
      </c>
      <c r="D678" s="4" t="str">
        <f ca="1">IFERROR(__xludf.DUMMYFUNCTION("""COMPUTED_VALUE"""),"Продление подписки на обновления Mobile SMARTS: Магазин 15 с МОТП, МЕГАМАРКЕТ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пров"&amp;"одной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п"&amp;"росмотр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г"&amp;"од")</f>
        <v>Продление подписки на обновления Mobile SMARTS: Магазин 15 с МОТП, МЕГАМАРКЕТ для интеграции через REST API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78" s="4" t="str">
        <f ca="1">IFERROR(__xludf.DUMMYFUNCTION("""COMPUTED_VALUE"""),"Продление подписки на обновления Mobile SMARTS: Магазин 15 с МОТП, МЕГАМАРКЕТ для интеграции через REST API  на 1 (один) год")</f>
        <v>Продление подписки на обновления Mobile SMARTS: Магазин 15 с МОТП, МЕГАМАРКЕТ для интеграции через REST API  на 1 (один) год</v>
      </c>
      <c r="F678" s="5">
        <f ca="1">IFERROR(__xludf.DUMMYFUNCTION("""COMPUTED_VALUE"""),5170)</f>
        <v>5170</v>
      </c>
    </row>
    <row r="679" spans="1:6" ht="72" customHeight="1" x14ac:dyDescent="0.2">
      <c r="A679" s="4" t="str">
        <f ca="1">IFERROR(__xludf.DUMMYFUNCTION("""COMPUTED_VALUE"""),"интеграции через REST API")</f>
        <v>интеграции через REST API</v>
      </c>
      <c r="B679" s="4" t="str">
        <f ca="1">IFERROR(__xludf.DUMMYFUNCTION("""COMPUTED_VALUE"""),"с ЕГАИС и МОТП, БАЗОВЫЙ")</f>
        <v>с ЕГАИС и МОТП, БАЗОВЫЙ</v>
      </c>
      <c r="C679" s="4" t="str">
        <f ca="1">IFERROR(__xludf.DUMMYFUNCTION("""COMPUTED_VALUE"""),"SSY1-RTL15AET-REST")</f>
        <v>SSY1-RTL15AET-REST</v>
      </c>
      <c r="D679" s="4" t="str">
        <f ca="1">IFERROR(__xludf.DUMMYFUNCTION("""COMPUTED_VALUE"""),"Продление подписки на обновления Mobile SMARTS: Магазин 15 с ЕГАИС и МОТП, БАЗОВЫЙ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товаром"&amp;"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мобильный"&amp;"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контраг"&amp;"ентах,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БАЗОВЫЙ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79" s="4" t="str">
        <f ca="1">IFERROR(__xludf.DUMMYFUNCTION("""COMPUTED_VALUE"""),"Продление подписки на обновления Mobile SMARTS: Магазин 15 с ЕГАИС и МОТП, БАЗОВЫЙ для интеграции через REST API  на 1 (один) год")</f>
        <v>Продление подписки на обновления Mobile SMARTS: Магазин 15 с ЕГАИС и МОТП, БАЗОВЫЙ для интеграции через REST API  на 1 (один) год</v>
      </c>
      <c r="F679" s="5">
        <f ca="1">IFERROR(__xludf.DUMMYFUNCTION("""COMPUTED_VALUE"""),2830)</f>
        <v>2830</v>
      </c>
    </row>
    <row r="680" spans="1:6" ht="72" customHeight="1" x14ac:dyDescent="0.2">
      <c r="A680" s="4" t="str">
        <f ca="1">IFERROR(__xludf.DUMMYFUNCTION("""COMPUTED_VALUE"""),"интеграции через REST API")</f>
        <v>интеграции через REST API</v>
      </c>
      <c r="B680" s="4" t="str">
        <f ca="1">IFERROR(__xludf.DUMMYFUNCTION("""COMPUTED_VALUE"""),"с ЕГАИС и МОТП, РАСШИРЕННЫЙ")</f>
        <v>с ЕГАИС и МОТП, РАСШИРЕННЫЙ</v>
      </c>
      <c r="C680" s="4" t="str">
        <f ca="1">IFERROR(__xludf.DUMMYFUNCTION("""COMPUTED_VALUE"""),"SSY1-RTL15BET-REST")</f>
        <v>SSY1-RTL15BET-REST</v>
      </c>
      <c r="D680" s="4" t="str">
        <f ca="1">IFERROR(__xludf.DUMMYFUNCTION("""COMPUTED_VALUE"""),"Продление подписки на обновления Mobile SMARTS: Магазин 15 с ЕГАИС и МОТП, РАСШИРЕННЫЙ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тов"&amp;"аром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мобил"&amp;"ьный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кон"&amp;"трагентах,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РАСШИРЕННЫЙ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80" s="4" t="str">
        <f ca="1">IFERROR(__xludf.DUMMYFUNCTION("""COMPUTED_VALUE"""),"Продление подписки на обновления Mobile SMARTS: Магазин 15 с ЕГАИС и МОТП, РАСШИРЕННЫЙ для интеграции через REST API  на 1 (один) год")</f>
        <v>Продление подписки на обновления Mobile SMARTS: Магазин 15 с ЕГАИС и МОТП, РАСШИРЕННЫЙ для интеграции через REST API  на 1 (один) год</v>
      </c>
      <c r="F680" s="5">
        <f ca="1">IFERROR(__xludf.DUMMYFUNCTION("""COMPUTED_VALUE"""),4110)</f>
        <v>4110</v>
      </c>
    </row>
    <row r="681" spans="1:6" ht="72" customHeight="1" x14ac:dyDescent="0.2">
      <c r="A681" s="4" t="str">
        <f ca="1">IFERROR(__xludf.DUMMYFUNCTION("""COMPUTED_VALUE"""),"интеграции через REST API")</f>
        <v>интеграции через REST API</v>
      </c>
      <c r="B681" s="4" t="str">
        <f ca="1">IFERROR(__xludf.DUMMYFUNCTION("""COMPUTED_VALUE"""),"с ЕГАИС и МОТП, МЕГАМАРКЕТ")</f>
        <v>с ЕГАИС и МОТП, МЕГАМАРКЕТ</v>
      </c>
      <c r="C681" s="4" t="str">
        <f ca="1">IFERROR(__xludf.DUMMYFUNCTION("""COMPUTED_VALUE"""),"SSY1-RTL15CET-REST")</f>
        <v>SSY1-RTL15CET-REST</v>
      </c>
      <c r="D681" s="4" t="str">
        <f ca="1">IFERROR(__xludf.DUMMYFUNCTION("""COMPUTED_VALUE"""),"Продление подписки на обновления Mobile SMARTS: Магазин 15 с ЕГАИС и МОТП, МЕГАМАРКЕТ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това"&amp;"ром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мобиль"&amp;"ный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"&amp;"товаре,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МЕГАМАРКЕТ для интеграции через REST API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81" s="4" t="str">
        <f ca="1">IFERROR(__xludf.DUMMYFUNCTION("""COMPUTED_VALUE"""),"Продление подписки на обновления Mobile SMARTS: Магазин 15 с ЕГАИС и МОТП, МЕГАМАРКЕТ для интеграции через REST API  на 1 (один) год")</f>
        <v>Продление подписки на обновления Mobile SMARTS: Магазин 15 с ЕГАИС и МОТП, МЕГАМАРКЕТ для интеграции через REST API  на 1 (один) год</v>
      </c>
      <c r="F681" s="5">
        <f ca="1">IFERROR(__xludf.DUMMYFUNCTION("""COMPUTED_VALUE"""),5670)</f>
        <v>5670</v>
      </c>
    </row>
    <row r="682" spans="1:6" ht="72" customHeight="1" x14ac:dyDescent="0.2">
      <c r="A682" s="4" t="str">
        <f ca="1">IFERROR(__xludf.DUMMYFUNCTION("""COMPUTED_VALUE"""),"интеграции через REST API")</f>
        <v>интеграции через REST API</v>
      </c>
      <c r="B682" s="4" t="str">
        <f ca="1">IFERROR(__xludf.DUMMYFUNCTION("""COMPUTED_VALUE"""),"ШМОТКИ, БАЗОВЫЙ")</f>
        <v>ШМОТКИ, БАЗОВЫЙ</v>
      </c>
      <c r="C682" s="4" t="str">
        <f ca="1">IFERROR(__xludf.DUMMYFUNCTION("""COMPUTED_VALUE"""),"SSY1-RTL15AK-REST")</f>
        <v>SSY1-RTL15AK-REST</v>
      </c>
      <c r="D682" s="4" t="str">
        <f ca="1">IFERROR(__xludf.DUMMYFUNCTION("""COMPUTED_VALUE"""),"Продление подписки на обновления Mobile SMARTS: Магазин 15 с КИРОВКОЙ, БАЗОВЫЙ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по"&amp;"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пере"&amp;"мещение,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(о"&amp;"дин) год")</f>
        <v>Продление подписки на обновления Mobile SMARTS: Магазин 15 с КИРОВКОЙ, БАЗОВЫЙ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82" s="4" t="str">
        <f ca="1">IFERROR(__xludf.DUMMYFUNCTION("""COMPUTED_VALUE"""),"Продление подписки на обновления Mobile SMARTS: Магазин 15 с КИРОВКОЙ, БАЗОВЫЙ для интеграции через REST API  на 1 (один) год")</f>
        <v>Продление подписки на обновления Mobile SMARTS: Магазин 15 с КИРОВКОЙ, БАЗОВЫЙ для интеграции через REST API  на 1 (один) год</v>
      </c>
      <c r="F682" s="5">
        <f ca="1">IFERROR(__xludf.DUMMYFUNCTION("""COMPUTED_VALUE"""),2830)</f>
        <v>2830</v>
      </c>
    </row>
    <row r="683" spans="1:6" ht="72" customHeight="1" x14ac:dyDescent="0.2">
      <c r="A683" s="4" t="str">
        <f ca="1">IFERROR(__xludf.DUMMYFUNCTION("""COMPUTED_VALUE"""),"интеграции через REST API")</f>
        <v>интеграции через REST API</v>
      </c>
      <c r="B683" s="4" t="str">
        <f ca="1">IFERROR(__xludf.DUMMYFUNCTION("""COMPUTED_VALUE"""),"ШМОТКИ, РАСШИРЕННЫЙ")</f>
        <v>ШМОТКИ, РАСШИРЕННЫЙ</v>
      </c>
      <c r="C683" s="4" t="str">
        <f ca="1">IFERROR(__xludf.DUMMYFUNCTION("""COMPUTED_VALUE"""),"SSY1-RTL15BK-REST")</f>
        <v>SSY1-RTL15BK-REST</v>
      </c>
      <c r="D683" s="4" t="str">
        <f ca="1">IFERROR(__xludf.DUMMYFUNCTION("""COMPUTED_VALUE"""),"Продление подписки на обновления Mobile SMARTS: Магазин 15 с КИРОВКОЙ, РАСШИРЕННЫЙ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товаро"&amp;"м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"&amp;"перемещение,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"&amp;"1 (один) год")</f>
        <v>Продление подписки на обновления Mobile SMARTS: Магазин 15 с КИРОВКОЙ, РАСШИРЕННЫЙ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83" s="4" t="str">
        <f ca="1">IFERROR(__xludf.DUMMYFUNCTION("""COMPUTED_VALUE"""),"Продление подписки на обновления Mobile SMARTS: Магазин 15 с КИРОВКОЙ, РАСШИРЕННЫЙ для интеграции через REST API  на 1 (один) год")</f>
        <v>Продление подписки на обновления Mobile SMARTS: Магазин 15 с КИРОВКОЙ, РАСШИРЕННЫЙ для интеграции через REST API  на 1 (один) год</v>
      </c>
      <c r="F683" s="5">
        <f ca="1">IFERROR(__xludf.DUMMYFUNCTION("""COMPUTED_VALUE"""),4110)</f>
        <v>4110</v>
      </c>
    </row>
    <row r="684" spans="1:6" ht="72" customHeight="1" x14ac:dyDescent="0.2">
      <c r="A684" s="4" t="str">
        <f ca="1">IFERROR(__xludf.DUMMYFUNCTION("""COMPUTED_VALUE"""),"интеграции через REST API")</f>
        <v>интеграции через REST API</v>
      </c>
      <c r="B684" s="4" t="str">
        <f ca="1">IFERROR(__xludf.DUMMYFUNCTION("""COMPUTED_VALUE"""),"ШМОТКИ, МЕГАМАРКЕТ")</f>
        <v>ШМОТКИ, МЕГАМАРКЕТ</v>
      </c>
      <c r="C684" s="4" t="str">
        <f ca="1">IFERROR(__xludf.DUMMYFUNCTION("""COMPUTED_VALUE"""),"SSY1-RTL15CK-REST")</f>
        <v>SSY1-RTL15CK-REST</v>
      </c>
      <c r="D684" s="4" t="str">
        <f ca="1">IFERROR(__xludf.DUMMYFUNCTION("""COMPUTED_VALUE"""),"Продление подписки на обновления Mobile SMARTS: Магазин 15 с КИРОВКОЙ, МЕГАМАРКЕТ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товаром"&amp;"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п"&amp;"еремещение,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(одно)"&amp;" моб. устройство на 1 (один) год")</f>
        <v>Продление подписки на обновления Mobile SMARTS: Магазин 15 с КИРОВКОЙ, МЕГАМАРКЕТ для интеграции через REST API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84" s="4" t="str">
        <f ca="1">IFERROR(__xludf.DUMMYFUNCTION("""COMPUTED_VALUE"""),"Продление подписки на обновления Mobile SMARTS: Магазин 15 с КИРОВКОЙ, МЕГАМАРКЕТ для интеграции через REST API  на 1 (один) год")</f>
        <v>Продление подписки на обновления Mobile SMARTS: Магазин 15 с КИРОВКОЙ, МЕГАМАРКЕТ для интеграции через REST API  на 1 (один) год</v>
      </c>
      <c r="F684" s="5">
        <f ca="1">IFERROR(__xludf.DUMMYFUNCTION("""COMPUTED_VALUE"""),5670)</f>
        <v>5670</v>
      </c>
    </row>
    <row r="685" spans="1:6" ht="72" customHeight="1" x14ac:dyDescent="0.2">
      <c r="A685" s="4" t="str">
        <f ca="1">IFERROR(__xludf.DUMMYFUNCTION("""COMPUTED_VALUE"""),"интеграции через REST API")</f>
        <v>интеграции через REST API</v>
      </c>
      <c r="B685" s="4" t="str">
        <f ca="1">IFERROR(__xludf.DUMMYFUNCTION("""COMPUTED_VALUE"""),"с МДЛП, БАЗОВЫЙ")</f>
        <v>с МДЛП, БАЗОВЫЙ</v>
      </c>
      <c r="C685" s="4" t="str">
        <f ca="1">IFERROR(__xludf.DUMMYFUNCTION("""COMPUTED_VALUE"""),"SSY1-RTL15AL-REST")</f>
        <v>SSY1-RTL15AL-REST</v>
      </c>
      <c r="D685" s="4" t="str">
        <f ca="1">IFERROR(__xludf.DUMMYFUNCTION("""COMPUTED_VALUE"""),"Продление подписки на обновления Mobile SMARTS: Магазин 15 с МДЛП, БАЗОВЫЙ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/"&amp;"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МДЛП, БАЗОВЫЙ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85" s="4" t="str">
        <f ca="1">IFERROR(__xludf.DUMMYFUNCTION("""COMPUTED_VALUE"""),"Продление подписки на обновления Mobile SMARTS: Магазин 15 с МДЛП, БАЗОВЫЙ для интеграции через REST API  на 1 (один) год")</f>
        <v>Продление подписки на обновления Mobile SMARTS: Магазин 15 с МДЛП, БАЗОВЫЙ для интеграции через REST API  на 1 (один) год</v>
      </c>
      <c r="F685" s="5">
        <f ca="1">IFERROR(__xludf.DUMMYFUNCTION("""COMPUTED_VALUE"""),2091.6)</f>
        <v>2091.6</v>
      </c>
    </row>
    <row r="686" spans="1:6" ht="72" customHeight="1" x14ac:dyDescent="0.2">
      <c r="A686" s="4" t="str">
        <f ca="1">IFERROR(__xludf.DUMMYFUNCTION("""COMPUTED_VALUE"""),"интеграции через REST API")</f>
        <v>интеграции через REST API</v>
      </c>
      <c r="B686" s="4" t="str">
        <f ca="1">IFERROR(__xludf.DUMMYFUNCTION("""COMPUTED_VALUE"""),"с МДЛП, РАСШИРЕННЫЙ")</f>
        <v>с МДЛП, РАСШИРЕННЫЙ</v>
      </c>
      <c r="C686" s="4" t="str">
        <f ca="1">IFERROR(__xludf.DUMMYFUNCTION("""COMPUTED_VALUE"""),"SSY1-RTL15BL-REST")</f>
        <v>SSY1-RTL15BL-REST</v>
      </c>
      <c r="D686" s="4" t="str">
        <f ca="1">IFERROR(__xludf.DUMMYFUNCTION("""COMPUTED_VALUE"""),"Продление подписки на обновления Mobile SMARTS: Магазин 15 с МДЛП, РАСШИРЕННЫЙ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штрихкод"&amp;"ам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"&amp;"сбор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МДЛП, РАСШИРЕННЫЙ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86" s="4" t="str">
        <f ca="1">IFERROR(__xludf.DUMMYFUNCTION("""COMPUTED_VALUE"""),"Продление подписки на обновления Mobile SMARTS: Магазин 15 с МДЛП, РАСШИРЕННЫЙ для интеграции через REST API  на 1 (один) год")</f>
        <v>Продление подписки на обновления Mobile SMARTS: Магазин 15 с МДЛП, РАСШИРЕННЫЙ для интеграции через REST API  на 1 (один) год</v>
      </c>
      <c r="F686" s="5">
        <f ca="1">IFERROR(__xludf.DUMMYFUNCTION("""COMPUTED_VALUE"""),3075.6)</f>
        <v>3075.6</v>
      </c>
    </row>
    <row r="687" spans="1:6" ht="72" customHeight="1" x14ac:dyDescent="0.2">
      <c r="A687" s="4" t="str">
        <f ca="1">IFERROR(__xludf.DUMMYFUNCTION("""COMPUTED_VALUE"""),"интеграции через REST API")</f>
        <v>интеграции через REST API</v>
      </c>
      <c r="B687" s="4" t="str">
        <f ca="1">IFERROR(__xludf.DUMMYFUNCTION("""COMPUTED_VALUE"""),"с МДЛП, МЕГАМАРКЕТ")</f>
        <v>с МДЛП, МЕГАМАРКЕТ</v>
      </c>
      <c r="C687" s="4" t="str">
        <f ca="1">IFERROR(__xludf.DUMMYFUNCTION("""COMPUTED_VALUE"""),"SSY1-RTL15CL-REST")</f>
        <v>SSY1-RTL15CL-REST</v>
      </c>
      <c r="D687" s="4" t="str">
        <f ca="1">IFERROR(__xludf.DUMMYFUNCTION("""COMPUTED_VALUE"""),"Продление подписки на обновления Mobile SMARTS: Магазин 15 с МДЛП, МЕГАМАРКЕТ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штрихкода"&amp;"м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с"&amp;"бор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устройс"&amp;"тво на 1 (один) год")</f>
        <v>Продление подписки на обновления Mobile SMARTS: Магазин 15 с МДЛП, МЕГАМАРКЕТ для интеграции через REST API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87" s="4" t="str">
        <f ca="1">IFERROR(__xludf.DUMMYFUNCTION("""COMPUTED_VALUE"""),"Продление подписки на обновления Mobile SMARTS: Магазин 15 с МДЛП, МЕГАМАРКЕТ для интеграции через REST API  на 1 (один) год")</f>
        <v>Продление подписки на обновления Mobile SMARTS: Магазин 15 с МДЛП, МЕГАМАРКЕТ для интеграции через REST API  на 1 (один) год</v>
      </c>
      <c r="F687" s="5">
        <f ca="1">IFERROR(__xludf.DUMMYFUNCTION("""COMPUTED_VALUE"""),4539.6)</f>
        <v>4539.6000000000004</v>
      </c>
    </row>
    <row r="688" spans="1:6" ht="72" customHeight="1" x14ac:dyDescent="0.2">
      <c r="A688" s="4" t="str">
        <f ca="1">IFERROR(__xludf.DUMMYFUNCTION("""COMPUTED_VALUE"""),"интеграции через REST API")</f>
        <v>интеграции через REST API</v>
      </c>
      <c r="B688" s="4" t="str">
        <f ca="1">IFERROR(__xludf.DUMMYFUNCTION("""COMPUTED_VALUE"""),"ПРОДУКТОВЫЙ, БАЗОВЫЙ")</f>
        <v>ПРОДУКТОВЫЙ, БАЗОВЫЙ</v>
      </c>
      <c r="C688" s="4" t="str">
        <f ca="1">IFERROR(__xludf.DUMMYFUNCTION("""COMPUTED_VALUE"""),"SSY1-RTL15AG-REST")</f>
        <v>SSY1-RTL15AG-REST</v>
      </c>
      <c r="D688" s="4" t="str">
        <f ca="1">IFERROR(__xludf.DUMMYFUNCTION("""COMPUTED_VALUE"""),"Продление подписки на обновления Mobile SMARTS: Магазин 15 ПРОДУКТОВЫЙ, БАЗОВЫЙ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ВОДА,"&amp;"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пер"&amp;"еоценка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возможности:"&amp;"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88" s="4" t="str">
        <f ca="1">IFERROR(__xludf.DUMMYFUNCTION("""COMPUTED_VALUE"""),"Продление подписки на обновления Mobile SMARTS: Магазин 15 ПРОДУКТОВЫЙ, БАЗОВЫЙ для интеграции через REST API  на 1 (один) год")</f>
        <v>Продление подписки на обновления Mobile SMARTS: Магазин 15 ПРОДУКТОВЫЙ, БАЗОВЫЙ для интеграции через REST API  на 1 (один) год</v>
      </c>
      <c r="F688" s="5">
        <f ca="1">IFERROR(__xludf.DUMMYFUNCTION("""COMPUTED_VALUE"""),2631.6)</f>
        <v>2631.6</v>
      </c>
    </row>
    <row r="689" spans="1:6" ht="72" customHeight="1" x14ac:dyDescent="0.2">
      <c r="A689" s="4" t="str">
        <f ca="1">IFERROR(__xludf.DUMMYFUNCTION("""COMPUTED_VALUE"""),"интеграции через REST API")</f>
        <v>интеграции через REST API</v>
      </c>
      <c r="B689" s="4" t="str">
        <f ca="1">IFERROR(__xludf.DUMMYFUNCTION("""COMPUTED_VALUE"""),"ПРОДУКТОВЫЙ, РАСШИРЕННЫЙ")</f>
        <v>ПРОДУКТОВЫЙ, РАСШИРЕННЫЙ</v>
      </c>
      <c r="C689" s="4" t="str">
        <f ca="1">IFERROR(__xludf.DUMMYFUNCTION("""COMPUTED_VALUE"""),"SSY1-RTL15BG-REST")</f>
        <v>SSY1-RTL15BG-REST</v>
      </c>
      <c r="D689" s="4" t="str">
        <f ca="1">IFERROR(__xludf.DUMMYFUNCTION("""COMPUTED_VALUE"""),"Продление подписки на обновления Mobile SMARTS: Магазин 15 ПРОДУКТОВЫЙ, РАСШИРЕННЫЙ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В"&amp;"ОДА,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инвентаризация,"&amp;"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возможно"&amp;"сти: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89" s="4" t="str">
        <f ca="1">IFERROR(__xludf.DUMMYFUNCTION("""COMPUTED_VALUE"""),"Продление подписки на обновления Mobile SMARTS: Магазин 15 ПРОДУКТОВЫЙ, РАСШИРЕННЫЙ для интеграции через REST API  на 1 (один) год")</f>
        <v>Продление подписки на обновления Mobile SMARTS: Магазин 15 ПРОДУКТОВЫЙ, РАСШИРЕННЫЙ для интеграции через REST API  на 1 (один) год</v>
      </c>
      <c r="F689" s="5">
        <f ca="1">IFERROR(__xludf.DUMMYFUNCTION("""COMPUTED_VALUE"""),3615.6)</f>
        <v>3615.6</v>
      </c>
    </row>
    <row r="690" spans="1:6" ht="72" customHeight="1" x14ac:dyDescent="0.2">
      <c r="A690" s="4" t="str">
        <f ca="1">IFERROR(__xludf.DUMMYFUNCTION("""COMPUTED_VALUE"""),"интеграции через REST API")</f>
        <v>интеграции через REST API</v>
      </c>
      <c r="B690" s="4" t="str">
        <f ca="1">IFERROR(__xludf.DUMMYFUNCTION("""COMPUTED_VALUE"""),"ПРОДУКТОВЫЙ, МЕГАМАРКЕТ")</f>
        <v>ПРОДУКТОВЫЙ, МЕГАМАРКЕТ</v>
      </c>
      <c r="C690" s="4" t="str">
        <f ca="1">IFERROR(__xludf.DUMMYFUNCTION("""COMPUTED_VALUE"""),"SSY1-RTL15CG-REST")</f>
        <v>SSY1-RTL15CG-REST</v>
      </c>
      <c r="D690" s="4" t="str">
        <f ca="1">IFERROR(__xludf.DUMMYFUNCTION("""COMPUTED_VALUE"""),"Продление подписки на обновления Mobile SMARTS: Магазин 15 ПРОДУКТОВЫЙ, МЕГАМАРКЕТ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ВО"&amp;"ДА,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"&amp;"переоценка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возможнос"&amp;"ти: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МЕГАМАРКЕТ для интеграции через REST API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690" s="4" t="str">
        <f ca="1">IFERROR(__xludf.DUMMYFUNCTION("""COMPUTED_VALUE"""),"Продление подписки на обновления Mobile SMARTS: Магазин 15 ПРОДУКТОВЫЙ, МЕГАМАРКЕТ для интеграции через REST API  на 1 (один) год")</f>
        <v>Продление подписки на обновления Mobile SMARTS: Магазин 15 ПРОДУКТОВЫЙ, МЕГАМАРКЕТ для интеграции через REST API  на 1 (один) год</v>
      </c>
      <c r="F690" s="5">
        <f ca="1">IFERROR(__xludf.DUMMYFUNCTION("""COMPUTED_VALUE"""),6033.8)</f>
        <v>6033.8</v>
      </c>
    </row>
    <row r="691" spans="1:6" ht="72" customHeight="1" x14ac:dyDescent="0.2">
      <c r="A691" s="4" t="str">
        <f ca="1">IFERROR(__xludf.DUMMYFUNCTION("""COMPUTED_VALUE"""),"интеграции с программой Супермаг-2000 в формате «SuperKitMobile»")</f>
        <v>интеграции с программой Супермаг-2000 в формате «SuperKitMobile»</v>
      </c>
      <c r="B691" s="4" t="str">
        <f ca="1">IFERROR(__xludf.DUMMYFUNCTION("""COMPUTED_VALUE"""),"БАЗОВЫЙ")</f>
        <v>БАЗОВЫЙ</v>
      </c>
      <c r="C691" s="4" t="str">
        <f ca="1">IFERROR(__xludf.DUMMYFUNCTION("""COMPUTED_VALUE"""),"SSY1-RTL15A-SUPERMAG")</f>
        <v>SSY1-RTL15A-SUPERMAG</v>
      </c>
      <c r="D691" s="4" t="str">
        <f ca="1">IFERROR(__xludf.DUMMYFUNCTION("""COMPUTED_VALUE"""),"Продление подписки на обновления Mobile SMARTS: Магазин 15, БАЗОВЫЙ для интеграции с программой Супермаг-2000 в формате «SuperKitMobile» / на выбор проводной или беспроводной обмен / нет онлайна / доступные операции: переоценка, инвентаризация, поступлени"&amp;"е / возможности: изменение существующих операций / нельзя добавлять свои операции /  на 1 (одно) моб. устройство на 1 (один) год")</f>
        <v>Продление подписки на обновления Mobile SMARTS: Магазин 15, БАЗОВЫЙ для интеграции с программой Супермаг-2000 в формате «SuperKitMobile» / на выбор проводной или беспроводной обмен / нет онлайна / доступные операции: переоценка, инвентаризация, поступление / возможности: изменение существующих операций / нельзя добавлять свои операции /  на 1 (одно) моб. устройство на 1 (один) год</v>
      </c>
      <c r="E691" s="4" t="str">
        <f ca="1">IFERROR(__xludf.DUMMYFUNCTION("""COMPUTED_VALUE"""),"Продление подписки на обновления Mobile SMARTS: Магазин 15, БАЗОВЫЙ для интеграции с программой Супермаг-2000 в формате «SuperKitMobile»  на 1 (один) год")</f>
        <v>Продление подписки на обновления Mobile SMARTS: Магазин 15, БАЗОВЫЙ для интеграции с программой Супермаг-2000 в формате «SuperKitMobile»  на 1 (один) год</v>
      </c>
      <c r="F691" s="5">
        <f ca="1">IFERROR(__xludf.DUMMYFUNCTION("""COMPUTED_VALUE"""),2130)</f>
        <v>2130</v>
      </c>
    </row>
    <row r="692" spans="1:6" ht="72" customHeight="1" x14ac:dyDescent="0.2">
      <c r="A692" s="4" t="str">
        <f ca="1">IFERROR(__xludf.DUMMYFUNCTION("""COMPUTED_VALUE"""),"интеграции с SAP R/3 через REST/OLE/TXT")</f>
        <v>интеграции с SAP R/3 через REST/OLE/TXT</v>
      </c>
      <c r="B692" s="4" t="str">
        <f ca="1">IFERROR(__xludf.DUMMYFUNCTION("""COMPUTED_VALUE"""),"МИНИМУМ")</f>
        <v>МИНИМУМ</v>
      </c>
      <c r="C692" s="4" t="str">
        <f ca="1">IFERROR(__xludf.DUMMYFUNCTION("""COMPUTED_VALUE"""),"SSY1-RTL15M-SAPR3")</f>
        <v>SSY1-RTL15M-SAPR3</v>
      </c>
      <c r="D692" s="4" t="str">
        <f ca="1">IFERROR(__xludf.DUMMYFUNCTION("""COMPUTED_VALUE"""),"Продление подписки на обновления Mobile SMARTS: Магазин 15, МИНИМУМ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беспроводн"&amp;"ой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"&amp;"на 1 (один) год")</f>
        <v>Продление подписки на обновления Mobile SMARTS: Магазин 15, МИНИМУМ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(один) год</v>
      </c>
      <c r="E692" s="4" t="str">
        <f ca="1">IFERROR(__xludf.DUMMYFUNCTION("""COMPUTED_VALUE"""),"Продление подписки на обновления Mobile SMARTS: Магазин 15, МИНИМУМ для интеграции с SAP R/3 через REST/OLE/TXT  на 1 (один) год")</f>
        <v>Продление подписки на обновления Mobile SMARTS: Магазин 15, МИНИМУМ для интеграции с SAP R/3 через REST/OLE/TXT  на 1 (один) год</v>
      </c>
      <c r="F692" s="5">
        <f ca="1">IFERROR(__xludf.DUMMYFUNCTION("""COMPUTED_VALUE"""),1090)</f>
        <v>1090</v>
      </c>
    </row>
    <row r="693" spans="1:6" ht="72" customHeight="1" x14ac:dyDescent="0.2">
      <c r="A693" s="4" t="str">
        <f ca="1">IFERROR(__xludf.DUMMYFUNCTION("""COMPUTED_VALUE"""),"интеграции с SAP R/3 через REST/OLE/TXT")</f>
        <v>интеграции с SAP R/3 через REST/OLE/TXT</v>
      </c>
      <c r="B693" s="4" t="str">
        <f ca="1">IFERROR(__xludf.DUMMYFUNCTION("""COMPUTED_VALUE"""),"БАЗОВЫЙ")</f>
        <v>БАЗОВЫЙ</v>
      </c>
      <c r="C693" s="4" t="str">
        <f ca="1">IFERROR(__xludf.DUMMYFUNCTION("""COMPUTED_VALUE"""),"SSY1-RTL15A-SAPR3")</f>
        <v>SSY1-RTL15A-SAPR3</v>
      </c>
      <c r="D693" s="4" t="str">
        <f ca="1">IFERROR(__xludf.DUMMYFUNCTION("""COMPUTED_VALUE"""),"Продление подписки на обновления Mobile SMARTS: Магазин 15, БАЗОВЫЙ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беспроводн"&amp;"ой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това"&amp;"ре,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БАЗОВЫЙ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93" s="4" t="str">
        <f ca="1">IFERROR(__xludf.DUMMYFUNCTION("""COMPUTED_VALUE"""),"Продление подписки на обновления Mobile SMARTS: Магазин 15, БАЗОВЫЙ для интеграции с SAP R/3 через REST/OLE/TXT  на 1 (один) год")</f>
        <v>Продление подписки на обновления Mobile SMARTS: Магазин 15, БАЗОВЫЙ для интеграции с SAP R/3 через REST/OLE/TXT  на 1 (один) год</v>
      </c>
      <c r="F693" s="5">
        <f ca="1">IFERROR(__xludf.DUMMYFUNCTION("""COMPUTED_VALUE"""),2130)</f>
        <v>2130</v>
      </c>
    </row>
    <row r="694" spans="1:6" ht="72" customHeight="1" x14ac:dyDescent="0.2">
      <c r="A694" s="4" t="str">
        <f ca="1">IFERROR(__xludf.DUMMYFUNCTION("""COMPUTED_VALUE"""),"интеграции с SAP R/3 через REST/OLE/TXT")</f>
        <v>интеграции с SAP R/3 через REST/OLE/TXT</v>
      </c>
      <c r="B694" s="4" t="str">
        <f ca="1">IFERROR(__xludf.DUMMYFUNCTION("""COMPUTED_VALUE"""),"РАСШИРЕННЫЙ")</f>
        <v>РАСШИРЕННЫЙ</v>
      </c>
      <c r="C694" s="4" t="str">
        <f ca="1">IFERROR(__xludf.DUMMYFUNCTION("""COMPUTED_VALUE"""),"SSY1-RTL15B-SAPR3")</f>
        <v>SSY1-RTL15B-SAPR3</v>
      </c>
      <c r="D694" s="4" t="str">
        <f ca="1">IFERROR(__xludf.DUMMYFUNCTION("""COMPUTED_VALUE"""),"Продление подписки на обновления Mobile SMARTS: Магазин 15, РАСШИРЕННЫЙ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беспро"&amp;"водной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"&amp;"товаре,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РАСШИРЕННЫЙ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94" s="4" t="str">
        <f ca="1">IFERROR(__xludf.DUMMYFUNCTION("""COMPUTED_VALUE"""),"Продление подписки на обновления Mobile SMARTS: Магазин 15, РАСШИРЕННЫЙ для интеграции с SAP R/3 через REST/OLE/TXT  на 1 (один) год")</f>
        <v>Продление подписки на обновления Mobile SMARTS: Магазин 15, РАСШИРЕННЫЙ для интеграции с SAP R/3 через REST/OLE/TXT  на 1 (один) год</v>
      </c>
      <c r="F694" s="5">
        <f ca="1">IFERROR(__xludf.DUMMYFUNCTION("""COMPUTED_VALUE"""),3410)</f>
        <v>3410</v>
      </c>
    </row>
    <row r="695" spans="1:6" ht="72" customHeight="1" x14ac:dyDescent="0.2">
      <c r="A695" s="4" t="str">
        <f ca="1">IFERROR(__xludf.DUMMYFUNCTION("""COMPUTED_VALUE"""),"интеграции с SAP R/3 через REST/OLE/TXT")</f>
        <v>интеграции с SAP R/3 через REST/OLE/TXT</v>
      </c>
      <c r="B695" s="4" t="str">
        <f ca="1">IFERROR(__xludf.DUMMYFUNCTION("""COMPUTED_VALUE"""),"МЕГАМАРКЕТ")</f>
        <v>МЕГАМАРКЕТ</v>
      </c>
      <c r="C695" s="4" t="str">
        <f ca="1">IFERROR(__xludf.DUMMYFUNCTION("""COMPUTED_VALUE"""),"SSY1-RTL15C-SAPR3")</f>
        <v>SSY1-RTL15C-SAPR3</v>
      </c>
      <c r="D695" s="4" t="str">
        <f ca="1">IFERROR(__xludf.DUMMYFUNCTION("""COMPUTED_VALUE"""),"Продление подписки на обновления Mobile SMARTS: Магазин 15, МЕГАМАРКЕТ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беспров"&amp;"одной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р"&amp;"абота,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МЕГАМАРКЕТ для интеграции с SAP R/3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95" s="4" t="str">
        <f ca="1">IFERROR(__xludf.DUMMYFUNCTION("""COMPUTED_VALUE"""),"Продление подписки на обновления Mobile SMARTS: Магазин 15, МЕГАМАРКЕТ для интеграции с SAP R/3 через REST/OLE/TXT  на 1 (один) год")</f>
        <v>Продление подписки на обновления Mobile SMARTS: Магазин 15, МЕГАМАРКЕТ для интеграции с SAP R/3 через REST/OLE/TXT  на 1 (один) год</v>
      </c>
      <c r="F695" s="5">
        <f ca="1">IFERROR(__xludf.DUMMYFUNCTION("""COMPUTED_VALUE"""),4710)</f>
        <v>4710</v>
      </c>
    </row>
    <row r="696" spans="1:6" ht="72" customHeight="1" x14ac:dyDescent="0.2">
      <c r="A696" s="4" t="str">
        <f ca="1">IFERROR(__xludf.DUMMYFUNCTION("""COMPUTED_VALUE"""),"интеграции с SAP R/3 через REST/OLE/TXT")</f>
        <v>интеграции с SAP R/3 через REST/OLE/TXT</v>
      </c>
      <c r="B696" s="4" t="str">
        <f ca="1">IFERROR(__xludf.DUMMYFUNCTION("""COMPUTED_VALUE"""),"с ЕГАИС, БАЗОВЫЙ")</f>
        <v>с ЕГАИС, БАЗОВЫЙ</v>
      </c>
      <c r="C696" s="4" t="str">
        <f ca="1">IFERROR(__xludf.DUMMYFUNCTION("""COMPUTED_VALUE"""),"SSY1-RTL15AE-SAPR3")</f>
        <v>SSY1-RTL15AE-SAPR3</v>
      </c>
      <c r="D696" s="4" t="str">
        <f ca="1">IFERROR(__xludf.DUMMYFUNCTION("""COMPUTED_VALUE"""),"Продление подписки на обновления Mobile SMARTS: Магазин 15 с ЕГАИС,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штрихк"&amp;"одам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просм"&amp;"отр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год")</f>
        <v>Продление подписки на обновления Mobile SMARTS: Магазин 15 с ЕГАИС,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</v>
      </c>
      <c r="E696" s="4" t="str">
        <f ca="1">IFERROR(__xludf.DUMMYFUNCTION("""COMPUTED_VALUE"""),"Продление подписки на обновления Mobile SMARTS: Магазин 15 с ЕГАИС, БАЗОВЫЙ для интеграции с SAP R/3 через REST/OLE/TXT  на 1 (один) год")</f>
        <v>Продление подписки на обновления Mobile SMARTS: Магазин 15 с ЕГАИС, БАЗОВЫЙ для интеграции с SAP R/3 через REST/OLE/TXT  на 1 (один) год</v>
      </c>
      <c r="F696" s="5">
        <f ca="1">IFERROR(__xludf.DUMMYFUNCTION("""COMPUTED_VALUE"""),2600)</f>
        <v>2600</v>
      </c>
    </row>
    <row r="697" spans="1:6" ht="72" customHeight="1" x14ac:dyDescent="0.2">
      <c r="A697" s="4" t="str">
        <f ca="1">IFERROR(__xludf.DUMMYFUNCTION("""COMPUTED_VALUE"""),"интеграции с SAP R/3 через REST/OLE/TXT")</f>
        <v>интеграции с SAP R/3 через REST/OLE/TXT</v>
      </c>
      <c r="B697" s="4" t="str">
        <f ca="1">IFERROR(__xludf.DUMMYFUNCTION("""COMPUTED_VALUE"""),"с ЕГАИС, РАСШИРЕННЫЙ")</f>
        <v>с ЕГАИС, РАСШИРЕННЫЙ</v>
      </c>
      <c r="C697" s="4" t="str">
        <f ca="1">IFERROR(__xludf.DUMMYFUNCTION("""COMPUTED_VALUE"""),"SSY1-RTL15BE-SAPR3")</f>
        <v>SSY1-RTL15BE-SAPR3</v>
      </c>
      <c r="D697" s="4" t="str">
        <f ca="1">IFERROR(__xludf.DUMMYFUNCTION("""COMPUTED_VALUE"""),"Продление подписки на обновления Mobile SMARTS: Магазин 15 с ЕГАИС,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шт"&amp;"рихкодам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п"&amp;"росмотр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97" s="4" t="str">
        <f ca="1">IFERROR(__xludf.DUMMYFUNCTION("""COMPUTED_VALUE"""),"Продление подписки на обновления Mobile SMARTS: Магазин 15 с ЕГАИС, РАСШИРЕННЫЙ для интеграции с SAP R/3 через REST/OLE/TXT  на 1 (один) год")</f>
        <v>Продление подписки на обновления Mobile SMARTS: Магазин 15 с ЕГАИС, РАСШИРЕННЫЙ для интеграции с SAP R/3 через REST/OLE/TXT  на 1 (один) год</v>
      </c>
      <c r="F697" s="5">
        <f ca="1">IFERROR(__xludf.DUMMYFUNCTION("""COMPUTED_VALUE"""),3890)</f>
        <v>3890</v>
      </c>
    </row>
    <row r="698" spans="1:6" ht="72" customHeight="1" x14ac:dyDescent="0.2">
      <c r="A698" s="4" t="str">
        <f ca="1">IFERROR(__xludf.DUMMYFUNCTION("""COMPUTED_VALUE"""),"интеграции с SAP R/3 через REST/OLE/TXT")</f>
        <v>интеграции с SAP R/3 через REST/OLE/TXT</v>
      </c>
      <c r="B698" s="4" t="str">
        <f ca="1">IFERROR(__xludf.DUMMYFUNCTION("""COMPUTED_VALUE"""),"с ЕГАИС (без CheckMark2), МЕГАМАРКЕТ")</f>
        <v>с ЕГАИС (без CheckMark2), МЕГАМАРКЕТ</v>
      </c>
      <c r="C698" s="4" t="str">
        <f ca="1">IFERROR(__xludf.DUMMYFUNCTION("""COMPUTED_VALUE"""),"SSY1-RTL15CEV-SAPR3")</f>
        <v>SSY1-RTL15CEV-SAPR3</v>
      </c>
      <c r="D698" s="4" t="str">
        <f ca="1">IFERROR(__xludf.DUMMYFUNCTION("""COMPUTED_VALUE"""),"Продление подписки на обновления Mobile SMARTS: Магазин 15 с ЕГАИС (без CheckMark2),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 ЕГАИС"&amp;"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сб"&amp;"ор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(од"&amp;"но) моб. устройство на 1 (один) год")</f>
        <v>Продление подписки на обновления Mobile SMARTS: Магазин 15 с ЕГАИС (без CheckMark2),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98" s="4" t="str">
        <f ca="1">IFERROR(__xludf.DUMMYFUNCTION("""COMPUTED_VALUE"""),"Продление подписки на обновления Mobile SMARTS: Магазин 15 с ЕГАИС (без CheckMark2), МЕГАМАРКЕТ для интеграции с SAP R/3 через REST/OLE/TXT  на 1 (один) год")</f>
        <v>Продление подписки на обновления Mobile SMARTS: Магазин 15 с ЕГАИС (без CheckMark2), МЕГАМАРКЕТ для интеграции с SAP R/3 через REST/OLE/TXT  на 1 (один) год</v>
      </c>
      <c r="F698" s="5">
        <f ca="1">IFERROR(__xludf.DUMMYFUNCTION("""COMPUTED_VALUE"""),5170)</f>
        <v>5170</v>
      </c>
    </row>
    <row r="699" spans="1:6" ht="72" customHeight="1" x14ac:dyDescent="0.2">
      <c r="A699" s="4" t="str">
        <f ca="1">IFERROR(__xludf.DUMMYFUNCTION("""COMPUTED_VALUE"""),"интеграции с SAP R/3 через REST/OLE/TXT")</f>
        <v>интеграции с SAP R/3 через REST/OLE/TXT</v>
      </c>
      <c r="B699" s="4" t="str">
        <f ca="1">IFERROR(__xludf.DUMMYFUNCTION("""COMPUTED_VALUE"""),"с МОТП, БАЗОВЫЙ")</f>
        <v>с МОТП, БАЗОВЫЙ</v>
      </c>
      <c r="C699" s="4" t="str">
        <f ca="1">IFERROR(__xludf.DUMMYFUNCTION("""COMPUTED_VALUE"""),"SSY1-RTL15AT-SAPR3")</f>
        <v>SSY1-RTL15AT-SAPR3</v>
      </c>
      <c r="D699" s="4" t="str">
        <f ca="1">IFERROR(__xludf.DUMMYFUNCTION("""COMPUTED_VALUE"""),"Продление подписки на обновления Mobile SMARTS: Магазин 15 с МОТП, БАЗОВЫЙ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на"&amp;"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шт"&amp;"рихкодов,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БАЗОВЫЙ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699" s="4" t="str">
        <f ca="1">IFERROR(__xludf.DUMMYFUNCTION("""COMPUTED_VALUE"""),"Продление подписки на обновления Mobile SMARTS: Магазин 15 с МОТП, БАЗОВЫЙ для интеграции с SAP R/3 через REST/OLE/TXT  на 1 (один) год")</f>
        <v>Продление подписки на обновления Mobile SMARTS: Магазин 15 с МОТП, БАЗОВЫЙ для интеграции с SAP R/3 через REST/OLE/TXT  на 1 (один) год</v>
      </c>
      <c r="F699" s="5">
        <f ca="1">IFERROR(__xludf.DUMMYFUNCTION("""COMPUTED_VALUE"""),2630)</f>
        <v>2630</v>
      </c>
    </row>
    <row r="700" spans="1:6" ht="72" customHeight="1" x14ac:dyDescent="0.2">
      <c r="A700" s="4" t="str">
        <f ca="1">IFERROR(__xludf.DUMMYFUNCTION("""COMPUTED_VALUE"""),"интеграции с SAP R/3 через REST/OLE/TXT")</f>
        <v>интеграции с SAP R/3 через REST/OLE/TXT</v>
      </c>
      <c r="B700" s="4" t="str">
        <f ca="1">IFERROR(__xludf.DUMMYFUNCTION("""COMPUTED_VALUE"""),"с МОТП, РАСШИРЕННЫЙ")</f>
        <v>с МОТП, РАСШИРЕННЫЙ</v>
      </c>
      <c r="C700" s="4" t="str">
        <f ca="1">IFERROR(__xludf.DUMMYFUNCTION("""COMPUTED_VALUE"""),"SSY1-RTL15BT-SAPR3")</f>
        <v>SSY1-RTL15BT-SAPR3</v>
      </c>
      <c r="D700" s="4" t="str">
        <f ca="1">IFERROR(__xludf.DUMMYFUNCTION("""COMPUTED_VALUE"""),"Продление подписки на обновления Mobile SMARTS: Магазин 15 с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"&amp;"/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сбо"&amp;"р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0" s="4" t="str">
        <f ca="1">IFERROR(__xludf.DUMMYFUNCTION("""COMPUTED_VALUE"""),"Продление подписки на обновления Mobile SMARTS: Магазин 15 с МОТП, РАСШИРЕННЫЙ для интеграции с SAP R/3 через REST/OLE/TXT  на 1 (один) год")</f>
        <v>Продление подписки на обновления Mobile SMARTS: Магазин 15 с МОТП, РАСШИРЕННЫЙ для интеграции с SAP R/3 через REST/OLE/TXT  на 1 (один) год</v>
      </c>
      <c r="F700" s="5">
        <f ca="1">IFERROR(__xludf.DUMMYFUNCTION("""COMPUTED_VALUE"""),3890)</f>
        <v>3890</v>
      </c>
    </row>
    <row r="701" spans="1:6" ht="72" customHeight="1" x14ac:dyDescent="0.2">
      <c r="A701" s="4" t="str">
        <f ca="1">IFERROR(__xludf.DUMMYFUNCTION("""COMPUTED_VALUE"""),"интеграции с SAP R/3 через REST/OLE/TXT")</f>
        <v>интеграции с SAP R/3 через REST/OLE/TXT</v>
      </c>
      <c r="B701" s="4" t="str">
        <f ca="1">IFERROR(__xludf.DUMMYFUNCTION("""COMPUTED_VALUE"""),"с МОТП, МЕГАМАРКЕТ")</f>
        <v>с МОТП, МЕГАМАРКЕТ</v>
      </c>
      <c r="C701" s="4" t="str">
        <f ca="1">IFERROR(__xludf.DUMMYFUNCTION("""COMPUTED_VALUE"""),"SSY1-RTL15CT-SAPR3")</f>
        <v>SSY1-RTL15CT-SAPR3</v>
      </c>
      <c r="D701" s="4" t="str">
        <f ca="1">IFERROR(__xludf.DUMMYFUNCTION("""COMPUTED_VALUE"""),"Продление подписки на обновления Mobile SMARTS: Магазин 15 с МОТП, МЕГАМАРКЕТ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/"&amp;"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сбор"&amp;"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устройство"&amp;" на 1 (один) год")</f>
        <v>Продление подписки на обновления Mobile SMARTS: Магазин 15 с МОТП, МЕГАМАРКЕТ для интеграции с SAP R/3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1" s="4" t="str">
        <f ca="1">IFERROR(__xludf.DUMMYFUNCTION("""COMPUTED_VALUE"""),"Продление подписки на обновления Mobile SMARTS: Магазин 15 с МОТП, МЕГАМАРКЕТ для интеграции с SAP R/3 через REST/OLE/TXT  на 1 (один) год")</f>
        <v>Продление подписки на обновления Mobile SMARTS: Магазин 15 с МОТП, МЕГАМАРКЕТ для интеграции с SAP R/3 через REST/OLE/TXT  на 1 (один) год</v>
      </c>
      <c r="F701" s="5">
        <f ca="1">IFERROR(__xludf.DUMMYFUNCTION("""COMPUTED_VALUE"""),5170)</f>
        <v>5170</v>
      </c>
    </row>
    <row r="702" spans="1:6" ht="72" customHeight="1" x14ac:dyDescent="0.2">
      <c r="A702" s="4" t="str">
        <f ca="1">IFERROR(__xludf.DUMMYFUNCTION("""COMPUTED_VALUE"""),"интеграции с SAP R/3 через REST/OLE/TXT")</f>
        <v>интеграции с SAP R/3 через REST/OLE/TXT</v>
      </c>
      <c r="B702" s="4" t="str">
        <f ca="1">IFERROR(__xludf.DUMMYFUNCTION("""COMPUTED_VALUE"""),"с ЕГАИС и МОТП, БАЗОВЫЙ")</f>
        <v>с ЕГАИС и МОТП, БАЗОВЫЙ</v>
      </c>
      <c r="C702" s="4" t="str">
        <f ca="1">IFERROR(__xludf.DUMMYFUNCTION("""COMPUTED_VALUE"""),"SSY1-RTL15AET-SAPR3")</f>
        <v>SSY1-RTL15AET-SAPR3</v>
      </c>
      <c r="D702" s="4" t="str">
        <f ca="1">IFERROR(__xludf.DUMMYFUNCTION("""COMPUTED_VALUE"""),"Продление подписки на обновления Mobile SMARTS: Магазин 15 с ЕГАИС и МОТП,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ТАБ"&amp;"АКОМ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печать"&amp;"ю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ск"&amp;"ладах,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БАЗОВЫЙ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2" s="4" t="str">
        <f ca="1">IFERROR(__xludf.DUMMYFUNCTION("""COMPUTED_VALUE"""),"Продление подписки на обновления Mobile SMARTS: Магазин 15 с ЕГАИС и МОТП, БАЗОВЫЙ для интеграции с SAP R/3 через REST/OLE/TXT  на 1 (один) год")</f>
        <v>Продление подписки на обновления Mobile SMARTS: Магазин 15 с ЕГАИС и МОТП, БАЗОВЫЙ для интеграции с SAP R/3 через REST/OLE/TXT  на 1 (один) год</v>
      </c>
      <c r="F702" s="5">
        <f ca="1">IFERROR(__xludf.DUMMYFUNCTION("""COMPUTED_VALUE"""),2830)</f>
        <v>2830</v>
      </c>
    </row>
    <row r="703" spans="1:6" ht="72" customHeight="1" x14ac:dyDescent="0.2">
      <c r="A703" s="4" t="str">
        <f ca="1">IFERROR(__xludf.DUMMYFUNCTION("""COMPUTED_VALUE"""),"интеграции с SAP R/3 через REST/OLE/TXT")</f>
        <v>интеграции с SAP R/3 через REST/OLE/TXT</v>
      </c>
      <c r="B703" s="4" t="str">
        <f ca="1">IFERROR(__xludf.DUMMYFUNCTION("""COMPUTED_VALUE"""),"с ЕГАИС и МОТП, РАСШИРЕННЫЙ")</f>
        <v>с ЕГАИС и МОТП, РАСШИРЕННЫЙ</v>
      </c>
      <c r="C703" s="4" t="str">
        <f ca="1">IFERROR(__xludf.DUMMYFUNCTION("""COMPUTED_VALUE"""),"SSY1-RTL15BET-SAPR3")</f>
        <v>SSY1-RTL15BET-SAPR3</v>
      </c>
      <c r="D703" s="4" t="str">
        <f ca="1">IFERROR(__xludf.DUMMYFUNCTION("""COMPUTED_VALUE"""),"Продление подписки на обновления Mobile SMARTS: Магазин 15 с ЕГАИС и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маркированным"&amp;"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пе"&amp;"чатью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товаре"&amp;",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РАСШИРЕННЫЙ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3" s="4" t="str">
        <f ca="1">IFERROR(__xludf.DUMMYFUNCTION("""COMPUTED_VALUE"""),"Продление подписки на обновления Mobile SMARTS: Магазин 15 с ЕГАИС и МОТП, РАСШИРЕННЫЙ для интеграции с SAP R/3 через REST/OLE/TXT  на 1 (один) год")</f>
        <v>Продление подписки на обновления Mobile SMARTS: Магазин 15 с ЕГАИС и МОТП, РАСШИРЕННЫЙ для интеграции с SAP R/3 через REST/OLE/TXT  на 1 (один) год</v>
      </c>
      <c r="F703" s="5">
        <f ca="1">IFERROR(__xludf.DUMMYFUNCTION("""COMPUTED_VALUE"""),4110)</f>
        <v>4110</v>
      </c>
    </row>
    <row r="704" spans="1:6" ht="72" customHeight="1" x14ac:dyDescent="0.2">
      <c r="A704" s="4" t="str">
        <f ca="1">IFERROR(__xludf.DUMMYFUNCTION("""COMPUTED_VALUE"""),"интеграции с SAP R/3 через REST/OLE/TXT")</f>
        <v>интеграции с SAP R/3 через REST/OLE/TXT</v>
      </c>
      <c r="B704" s="4" t="str">
        <f ca="1">IFERROR(__xludf.DUMMYFUNCTION("""COMPUTED_VALUE"""),"с ЕГАИС и МОТП, МЕГАМАРКЕТ")</f>
        <v>с ЕГАИС и МОТП, МЕГАМАРКЕТ</v>
      </c>
      <c r="C704" s="4" t="str">
        <f ca="1">IFERROR(__xludf.DUMMYFUNCTION("""COMPUTED_VALUE"""),"SSY1-RTL15CET-SAPR3")</f>
        <v>SSY1-RTL15CET-SAPR3</v>
      </c>
      <c r="D704" s="4" t="str">
        <f ca="1">IFERROR(__xludf.DUMMYFUNCTION("""COMPUTED_VALUE"""),"Продление подписки на обновления Mobile SMARTS: Магазин 15 с ЕГАИС и МОТП,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"&amp;"ТАБАКОМ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печ"&amp;"атью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работа,"&amp;"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МЕГАМАРКЕТ для интеграции с SAP R/3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4" s="4" t="str">
        <f ca="1">IFERROR(__xludf.DUMMYFUNCTION("""COMPUTED_VALUE"""),"Продление подписки на обновления Mobile SMARTS: Магазин 15 с ЕГАИС и МОТП, МЕГАМАРКЕТ для интеграции с SAP R/3 через REST/OLE/TXT  на 1 (один) год")</f>
        <v>Продление подписки на обновления Mobile SMARTS: Магазин 15 с ЕГАИС и МОТП, МЕГАМАРКЕТ для интеграции с SAP R/3 через REST/OLE/TXT  на 1 (один) год</v>
      </c>
      <c r="F704" s="5">
        <f ca="1">IFERROR(__xludf.DUMMYFUNCTION("""COMPUTED_VALUE"""),5670)</f>
        <v>5670</v>
      </c>
    </row>
    <row r="705" spans="1:6" ht="72" customHeight="1" x14ac:dyDescent="0.2">
      <c r="A705" s="4" t="str">
        <f ca="1">IFERROR(__xludf.DUMMYFUNCTION("""COMPUTED_VALUE"""),"интеграции с SAP R/3 через REST/OLE/TXT")</f>
        <v>интеграции с SAP R/3 через REST/OLE/TXT</v>
      </c>
      <c r="B705" s="4" t="str">
        <f ca="1">IFERROR(__xludf.DUMMYFUNCTION("""COMPUTED_VALUE"""),"ШМОТКИ, БАЗОВЫЙ")</f>
        <v>ШМОТКИ, БАЗОВЫЙ</v>
      </c>
      <c r="C705" s="4" t="str">
        <f ca="1">IFERROR(__xludf.DUMMYFUNCTION("""COMPUTED_VALUE"""),"SSY1-RTL15AK-SAPR3")</f>
        <v>SSY1-RTL15AK-SAPR3</v>
      </c>
      <c r="D705" s="4" t="str">
        <f ca="1">IFERROR(__xludf.DUMMYFUNCTION("""COMPUTED_VALUE"""),"Продление подписки на обновления Mobile SMARTS: Магазин 15 с КИРОВКОЙ, БАЗОВЫЙ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ШИНАМ"&amp;"И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отгрузк"&amp;"а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устр"&amp;"ойство на 1 (один) год")</f>
        <v>Продление подписки на обновления Mobile SMARTS: Магазин 15 с КИРОВКОЙ, БАЗОВЫЙ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5" s="4" t="str">
        <f ca="1">IFERROR(__xludf.DUMMYFUNCTION("""COMPUTED_VALUE"""),"Продление подписки на обновления Mobile SMARTS: Магазин 15 с КИРОВКОЙ, БАЗОВЫЙ для интеграции с SAP R/3 через REST/OLE/TXT  на 1 (один) год")</f>
        <v>Продление подписки на обновления Mobile SMARTS: Магазин 15 с КИРОВКОЙ, БАЗОВЫЙ для интеграции с SAP R/3 через REST/OLE/TXT  на 1 (один) год</v>
      </c>
      <c r="F705" s="5">
        <f ca="1">IFERROR(__xludf.DUMMYFUNCTION("""COMPUTED_VALUE"""),2830)</f>
        <v>2830</v>
      </c>
    </row>
    <row r="706" spans="1:6" ht="72" customHeight="1" x14ac:dyDescent="0.2">
      <c r="A706" s="4" t="str">
        <f ca="1">IFERROR(__xludf.DUMMYFUNCTION("""COMPUTED_VALUE"""),"интеграции с SAP R/3 через REST/OLE/TXT")</f>
        <v>интеграции с SAP R/3 через REST/OLE/TXT</v>
      </c>
      <c r="B706" s="4" t="str">
        <f ca="1">IFERROR(__xludf.DUMMYFUNCTION("""COMPUTED_VALUE"""),"ШМОТКИ, РАСШИРЕННЫЙ")</f>
        <v>ШМОТКИ, РАСШИРЕННЫЙ</v>
      </c>
      <c r="C706" s="4" t="str">
        <f ca="1">IFERROR(__xludf.DUMMYFUNCTION("""COMPUTED_VALUE"""),"SSY1-RTL15BK-SAPR3")</f>
        <v>SSY1-RTL15BK-SAPR3</v>
      </c>
      <c r="D706" s="4" t="str">
        <f ca="1">IFERROR(__xludf.DUMMYFUNCTION("""COMPUTED_VALUE"""),"Продление подписки на обновления Mobile SMARTS: Магазин 15 с КИРОВКОЙ, РАСШИРЕННЫЙ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Ш"&amp;"ИНАМИ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отг"&amp;"рузка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"&amp;"устройство на 1 (один) год")</f>
        <v>Продление подписки на обновления Mobile SMARTS: Магазин 15 с КИРОВКОЙ, РАСШИРЕННЫЙ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6" s="4" t="str">
        <f ca="1">IFERROR(__xludf.DUMMYFUNCTION("""COMPUTED_VALUE"""),"Продление подписки на обновления Mobile SMARTS: Магазин 15 с КИРОВКОЙ, РАСШИРЕННЫЙ для интеграции с SAP R/3 через REST/OLE/TXT  на 1 (один) год")</f>
        <v>Продление подписки на обновления Mobile SMARTS: Магазин 15 с КИРОВКОЙ, РАСШИРЕННЫЙ для интеграции с SAP R/3 через REST/OLE/TXT  на 1 (один) год</v>
      </c>
      <c r="F706" s="5">
        <f ca="1">IFERROR(__xludf.DUMMYFUNCTION("""COMPUTED_VALUE"""),4110)</f>
        <v>4110</v>
      </c>
    </row>
    <row r="707" spans="1:6" ht="72" customHeight="1" x14ac:dyDescent="0.2">
      <c r="A707" s="4" t="str">
        <f ca="1">IFERROR(__xludf.DUMMYFUNCTION("""COMPUTED_VALUE"""),"интеграции с SAP R/3 через REST/OLE/TXT")</f>
        <v>интеграции с SAP R/3 через REST/OLE/TXT</v>
      </c>
      <c r="B707" s="4" t="str">
        <f ca="1">IFERROR(__xludf.DUMMYFUNCTION("""COMPUTED_VALUE"""),"ШМОТКИ, МЕГАМАРКЕТ")</f>
        <v>ШМОТКИ, МЕГАМАРКЕТ</v>
      </c>
      <c r="C707" s="4" t="str">
        <f ca="1">IFERROR(__xludf.DUMMYFUNCTION("""COMPUTED_VALUE"""),"SSY1-RTL15CK-SAPR3")</f>
        <v>SSY1-RTL15CK-SAPR3</v>
      </c>
      <c r="D707" s="4" t="str">
        <f ca="1">IFERROR(__xludf.DUMMYFUNCTION("""COMPUTED_VALUE"""),"Продление подписки на обновления Mobile SMARTS: Магазин 15 с КИРОВКОЙ, МЕГАМАРКЕТ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ШИ"&amp;"НАМИ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отгр"&amp;"узка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"&amp;"/  на 1 (одно) моб. устройство на 1 (один) год")</f>
        <v>Продление подписки на обновления Mobile SMARTS: Магазин 15 с КИРОВКОЙ, МЕГАМАРКЕТ для интеграции с SAP R/3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7" s="4" t="str">
        <f ca="1">IFERROR(__xludf.DUMMYFUNCTION("""COMPUTED_VALUE"""),"Продление подписки на обновления Mobile SMARTS: Магазин 15 с КИРОВКОЙ, МЕГАМАРКЕТ для интеграции с SAP R/3 через REST/OLE/TXT  на 1 (один) год")</f>
        <v>Продление подписки на обновления Mobile SMARTS: Магазин 15 с КИРОВКОЙ, МЕГАМАРКЕТ для интеграции с SAP R/3 через REST/OLE/TXT  на 1 (один) год</v>
      </c>
      <c r="F707" s="5">
        <f ca="1">IFERROR(__xludf.DUMMYFUNCTION("""COMPUTED_VALUE"""),5670)</f>
        <v>5670</v>
      </c>
    </row>
    <row r="708" spans="1:6" ht="72" customHeight="1" x14ac:dyDescent="0.2">
      <c r="A708" s="4" t="str">
        <f ca="1">IFERROR(__xludf.DUMMYFUNCTION("""COMPUTED_VALUE"""),"интеграции с SAP R/3 через REST/OLE/TXT")</f>
        <v>интеграции с SAP R/3 через REST/OLE/TXT</v>
      </c>
      <c r="B708" s="4" t="str">
        <f ca="1">IFERROR(__xludf.DUMMYFUNCTION("""COMPUTED_VALUE"""),"с МДЛП, БАЗОВЫЙ")</f>
        <v>с МДЛП, БАЗОВЫЙ</v>
      </c>
      <c r="C708" s="4" t="str">
        <f ca="1">IFERROR(__xludf.DUMMYFUNCTION("""COMPUTED_VALUE"""),"SSY1-RTL15AL-SAPR3")</f>
        <v>SSY1-RTL15AL-SAPR3</v>
      </c>
      <c r="D708" s="4" t="str">
        <f ca="1">IFERROR(__xludf.DUMMYFUNCTION("""COMPUTED_VALUE"""),"Продление подписки на обновления Mobile SMARTS: Магазин 15 с МДЛП,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п"&amp;"о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пер"&amp;"емещение,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("&amp;"один) год")</f>
        <v>Продление подписки на обновления Mobile SMARTS: Магазин 15 с МДЛП,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8" s="4" t="str">
        <f ca="1">IFERROR(__xludf.DUMMYFUNCTION("""COMPUTED_VALUE"""),"Продление подписки на обновления Mobile SMARTS: Магазин 15 с МДЛП, БАЗОВЫЙ для интеграции с SAP R/3 через REST/OLE/TXT  на 1 (один) год")</f>
        <v>Продление подписки на обновления Mobile SMARTS: Магазин 15 с МДЛП, БАЗОВЫЙ для интеграции с SAP R/3 через REST/OLE/TXT  на 1 (один) год</v>
      </c>
      <c r="F708" s="5">
        <f ca="1">IFERROR(__xludf.DUMMYFUNCTION("""COMPUTED_VALUE"""),2091.6)</f>
        <v>2091.6</v>
      </c>
    </row>
    <row r="709" spans="1:6" ht="72" customHeight="1" x14ac:dyDescent="0.2">
      <c r="A709" s="4" t="str">
        <f ca="1">IFERROR(__xludf.DUMMYFUNCTION("""COMPUTED_VALUE"""),"интеграции с SAP R/3 через REST/OLE/TXT")</f>
        <v>интеграции с SAP R/3 через REST/OLE/TXT</v>
      </c>
      <c r="B709" s="4" t="str">
        <f ca="1">IFERROR(__xludf.DUMMYFUNCTION("""COMPUTED_VALUE"""),"с МДЛП, РАСШИРЕННЫЙ")</f>
        <v>с МДЛП, РАСШИРЕННЫЙ</v>
      </c>
      <c r="C709" s="4" t="str">
        <f ca="1">IFERROR(__xludf.DUMMYFUNCTION("""COMPUTED_VALUE"""),"SSY1-RTL15BL-SAPR3")</f>
        <v>SSY1-RTL15BL-SAPR3</v>
      </c>
      <c r="D709" s="4" t="str">
        <f ca="1">IFERROR(__xludf.DUMMYFUNCTION("""COMPUTED_VALUE"""),"Продление подписки на обновления Mobile SMARTS: Магазин 15 с МДЛП,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товар"&amp;"ом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КМ),"&amp;"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на"&amp;" 1 (один) год")</f>
        <v>Продление подписки на обновления Mobile SMARTS: Магазин 15 с МДЛП,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09" s="4" t="str">
        <f ca="1">IFERROR(__xludf.DUMMYFUNCTION("""COMPUTED_VALUE"""),"Продление подписки на обновления Mobile SMARTS: Магазин 15 с МДЛП, РАСШИРЕННЫЙ для интеграции с SAP R/3 через REST/OLE/TXT  на 1 (один) год")</f>
        <v>Продление подписки на обновления Mobile SMARTS: Магазин 15 с МДЛП, РАСШИРЕННЫЙ для интеграции с SAP R/3 через REST/OLE/TXT  на 1 (один) год</v>
      </c>
      <c r="F709" s="5">
        <f ca="1">IFERROR(__xludf.DUMMYFUNCTION("""COMPUTED_VALUE"""),3075.6)</f>
        <v>3075.6</v>
      </c>
    </row>
    <row r="710" spans="1:6" ht="72" customHeight="1" x14ac:dyDescent="0.2">
      <c r="A710" s="4" t="str">
        <f ca="1">IFERROR(__xludf.DUMMYFUNCTION("""COMPUTED_VALUE"""),"интеграции с SAP R/3 через REST/OLE/TXT")</f>
        <v>интеграции с SAP R/3 через REST/OLE/TXT</v>
      </c>
      <c r="B710" s="4" t="str">
        <f ca="1">IFERROR(__xludf.DUMMYFUNCTION("""COMPUTED_VALUE"""),"с МДЛП, МЕГАМАРКЕТ")</f>
        <v>с МДЛП, МЕГАМАРКЕТ</v>
      </c>
      <c r="C710" s="4" t="str">
        <f ca="1">IFERROR(__xludf.DUMMYFUNCTION("""COMPUTED_VALUE"""),"SSY1-RTL15CL-SAPR3")</f>
        <v>SSY1-RTL15CL-SAPR3</v>
      </c>
      <c r="D710" s="4" t="str">
        <f ca="1">IFERROR(__xludf.DUMMYFUNCTION("""COMPUTED_VALUE"""),"Продление подписки на обновления Mobile SMARTS: Магазин 15 с МДЛП,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товаро"&amp;"м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"&amp;"перемещение,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(одно"&amp;") моб. устройство на 1 (один) год")</f>
        <v>Продление подписки на обновления Mobile SMARTS: Магазин 15 с МДЛП,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10" s="4" t="str">
        <f ca="1">IFERROR(__xludf.DUMMYFUNCTION("""COMPUTED_VALUE"""),"Продление подписки на обновления Mobile SMARTS: Магазин 15 с МДЛП, МЕГАМАРКЕТ для интеграции с SAP R/3 через REST/OLE/TXT  на 1 (один) год")</f>
        <v>Продление подписки на обновления Mobile SMARTS: Магазин 15 с МДЛП, МЕГАМАРКЕТ для интеграции с SAP R/3 через REST/OLE/TXT  на 1 (один) год</v>
      </c>
      <c r="F710" s="5">
        <f ca="1">IFERROR(__xludf.DUMMYFUNCTION("""COMPUTED_VALUE"""),4539.6)</f>
        <v>4539.6000000000004</v>
      </c>
    </row>
    <row r="711" spans="1:6" ht="72" customHeight="1" x14ac:dyDescent="0.2">
      <c r="A711" s="4" t="str">
        <f ca="1">IFERROR(__xludf.DUMMYFUNCTION("""COMPUTED_VALUE"""),"интеграции с SAP R/3 через REST/OLE/TXT")</f>
        <v>интеграции с SAP R/3 через REST/OLE/TXT</v>
      </c>
      <c r="B711" s="4" t="str">
        <f ca="1">IFERROR(__xludf.DUMMYFUNCTION("""COMPUTED_VALUE"""),"ПРОДУКТОВЫЙ, БАЗОВЫЙ")</f>
        <v>ПРОДУКТОВЫЙ, БАЗОВЫЙ</v>
      </c>
      <c r="C711" s="4" t="str">
        <f ca="1">IFERROR(__xludf.DUMMYFUNCTION("""COMPUTED_VALUE"""),"SSY1-RTL15AG-SAPR3")</f>
        <v>SSY1-RTL15AG-SAPR3</v>
      </c>
      <c r="D711" s="4" t="str">
        <f ca="1">IFERROR(__xludf.DUMMYFUNCTION("""COMPUTED_VALUE"""),"Продление подписки на обновления Mobile SMARTS: Магазин 15 ПРОДУКТОВЫЙ,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ТАБАК,"&amp;"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инвен"&amp;"таризация,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"&amp;"/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11" s="4" t="str">
        <f ca="1">IFERROR(__xludf.DUMMYFUNCTION("""COMPUTED_VALUE"""),"Продление подписки на обновления Mobile SMARTS: Магазин 15 ПРОДУКТОВЫЙ, БАЗОВЫЙ для интеграции с SAP R/3 через REST/OLE/TXT  на 1 (один) год")</f>
        <v>Продление подписки на обновления Mobile SMARTS: Магазин 15 ПРОДУКТОВЫЙ, БАЗОВЫЙ для интеграции с SAP R/3 через REST/OLE/TXT  на 1 (один) год</v>
      </c>
      <c r="F711" s="5">
        <f ca="1">IFERROR(__xludf.DUMMYFUNCTION("""COMPUTED_VALUE"""),2631.6)</f>
        <v>2631.6</v>
      </c>
    </row>
    <row r="712" spans="1:6" ht="72" customHeight="1" x14ac:dyDescent="0.2">
      <c r="A712" s="4" t="str">
        <f ca="1">IFERROR(__xludf.DUMMYFUNCTION("""COMPUTED_VALUE"""),"интеграции с SAP R/3 через REST/OLE/TXT")</f>
        <v>интеграции с SAP R/3 через REST/OLE/TXT</v>
      </c>
      <c r="B712" s="4" t="str">
        <f ca="1">IFERROR(__xludf.DUMMYFUNCTION("""COMPUTED_VALUE"""),"ПРОДУКТОВЫЙ, РАСШИРЕННЫЙ")</f>
        <v>ПРОДУКТОВЫЙ, РАСШИРЕННЫЙ</v>
      </c>
      <c r="C712" s="4" t="str">
        <f ca="1">IFERROR(__xludf.DUMMYFUNCTION("""COMPUTED_VALUE"""),"SSY1-RTL15BG-SAPR3")</f>
        <v>SSY1-RTL15BG-SAPR3</v>
      </c>
      <c r="D712" s="4" t="str">
        <f ca="1">IFERROR(__xludf.DUMMYFUNCTION("""COMPUTED_VALUE"""),"Продление подписки на обновления Mobile SMARTS: Магазин 15 ПРОДУКТОВЫЙ,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ТА"&amp;"БАК,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и"&amp;"нвентаризация,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настро"&amp;"йки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12" s="4" t="str">
        <f ca="1">IFERROR(__xludf.DUMMYFUNCTION("""COMPUTED_VALUE"""),"Продление подписки на обновления Mobile SMARTS: Магазин 15 ПРОДУКТОВЫЙ, РАСШИРЕННЫЙ для интеграции с SAP R/3 через REST/OLE/TXT  на 1 (один) год")</f>
        <v>Продление подписки на обновления Mobile SMARTS: Магазин 15 ПРОДУКТОВЫЙ, РАСШИРЕННЫЙ для интеграции с SAP R/3 через REST/OLE/TXT  на 1 (один) год</v>
      </c>
      <c r="F712" s="5">
        <f ca="1">IFERROR(__xludf.DUMMYFUNCTION("""COMPUTED_VALUE"""),3615.6)</f>
        <v>3615.6</v>
      </c>
    </row>
    <row r="713" spans="1:6" ht="72" customHeight="1" x14ac:dyDescent="0.2">
      <c r="A713" s="4" t="str">
        <f ca="1">IFERROR(__xludf.DUMMYFUNCTION("""COMPUTED_VALUE"""),"интеграции с SAP R/3 через REST/OLE/TXT")</f>
        <v>интеграции с SAP R/3 через REST/OLE/TXT</v>
      </c>
      <c r="B713" s="4" t="str">
        <f ca="1">IFERROR(__xludf.DUMMYFUNCTION("""COMPUTED_VALUE"""),"ПРОДУКТОВЫЙ, МЕГАМАРКЕТ")</f>
        <v>ПРОДУКТОВЫЙ, МЕГАМАРКЕТ</v>
      </c>
      <c r="C713" s="4" t="str">
        <f ca="1">IFERROR(__xludf.DUMMYFUNCTION("""COMPUTED_VALUE"""),"SSY1-RTL15CG-SAPR3")</f>
        <v>SSY1-RTL15CG-SAPR3</v>
      </c>
      <c r="D713" s="4" t="str">
        <f ca="1">IFERROR(__xludf.DUMMYFUNCTION("""COMPUTED_VALUE"""),"Продление подписки на обновления Mobile SMARTS: Магазин 15 ПРОДУКТОВЫЙ,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ТАБ"&amp;"АК,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ин"&amp;"вентаризация,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настрой"&amp;"ки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МЕГАМАРКЕТ для интеграции с SAP R/3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13" s="4" t="str">
        <f ca="1">IFERROR(__xludf.DUMMYFUNCTION("""COMPUTED_VALUE"""),"Продление подписки на обновления Mobile SMARTS: Магазин 15 ПРОДУКТОВЫЙ, МЕГАМАРКЕТ для интеграции с SAP R/3 через REST/OLE/TXT  на 1 (один) год")</f>
        <v>Продление подписки на обновления Mobile SMARTS: Магазин 15 ПРОДУКТОВЫЙ, МЕГАМАРКЕТ для интеграции с SAP R/3 через REST/OLE/TXT  на 1 (один) год</v>
      </c>
      <c r="F713" s="5">
        <f ca="1">IFERROR(__xludf.DUMMYFUNCTION("""COMPUTED_VALUE"""),6033.8)</f>
        <v>6033.8</v>
      </c>
    </row>
    <row r="714" spans="1:6" ht="72" customHeight="1" x14ac:dyDescent="0.2">
      <c r="A714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4" s="4" t="str">
        <f ca="1">IFERROR(__xludf.DUMMYFUNCTION("""COMPUTED_VALUE"""),"МИНИМУМ")</f>
        <v>МИНИМУМ</v>
      </c>
      <c r="C714" s="4" t="str">
        <f ca="1">IFERROR(__xludf.DUMMYFUNCTION("""COMPUTED_VALUE"""),"SSY1-RTL15M-MSAX")</f>
        <v>SSY1-RTL15M-MSAX</v>
      </c>
      <c r="D714" s="4" t="str">
        <f ca="1">IFERROR(__xludf.DUMMYFUNCTION("""COMPUTED_VALUE"""),"Продление подписки на обновления Mobile SMARTS: Магазин 15, МИНИМУМ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п"&amp;"роводной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"&amp;"(одно) моб. устройство на 1 (один) год")</f>
        <v>Продление подписки на обновления Mobile SMARTS: Магазин 15, МИНИМУМ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(один) год</v>
      </c>
      <c r="E714" s="4" t="str">
        <f ca="1">IFERROR(__xludf.DUMMYFUNCTION("""COMPUTED_VALUE"""),"Продление подписки на обновления Mobile SMARTS: Магазин 15, МИНИМУМ для интеграции с Microsoft Dynamics AX (Axapta) через REST/OLE/TXT  на 1 (один) год")</f>
        <v>Продление подписки на обновления Mobile SMARTS: Магазин 15, МИНИМУМ для интеграции с Microsoft Dynamics AX (Axapta) через REST/OLE/TXT  на 1 (один) год</v>
      </c>
      <c r="F714" s="5">
        <f ca="1">IFERROR(__xludf.DUMMYFUNCTION("""COMPUTED_VALUE"""),1090)</f>
        <v>1090</v>
      </c>
    </row>
    <row r="715" spans="1:6" ht="72" customHeight="1" x14ac:dyDescent="0.2">
      <c r="A715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5" s="4" t="str">
        <f ca="1">IFERROR(__xludf.DUMMYFUNCTION("""COMPUTED_VALUE"""),"БАЗОВЫЙ")</f>
        <v>БАЗОВЫЙ</v>
      </c>
      <c r="C715" s="4" t="str">
        <f ca="1">IFERROR(__xludf.DUMMYFUNCTION("""COMPUTED_VALUE"""),"SSY1-RTL15A-MSAX")</f>
        <v>SSY1-RTL15A-MSAX</v>
      </c>
      <c r="D715" s="4" t="str">
        <f ca="1">IFERROR(__xludf.DUMMYFUNCTION("""COMPUTED_VALUE"""),"Продление подписки на обновления Mobile SMARTS: Магазин 15, БАЗОВЫЙ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п"&amp;"роводной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возможн"&amp;"ости: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БАЗОВЫЙ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15" s="4" t="str">
        <f ca="1">IFERROR(__xludf.DUMMYFUNCTION("""COMPUTED_VALUE"""),"Продление подписки на обновления Mobile SMARTS: Магазин 15, БАЗОВЫЙ для интеграции с Microsoft Dynamics AX (Axapta) через REST/OLE/TXT  на 1 (один) год")</f>
        <v>Продление подписки на обновления Mobile SMARTS: Магазин 15, БАЗОВЫЙ для интеграции с Microsoft Dynamics AX (Axapta) через REST/OLE/TXT  на 1 (один) год</v>
      </c>
      <c r="F715" s="5">
        <f ca="1">IFERROR(__xludf.DUMMYFUNCTION("""COMPUTED_VALUE"""),2130)</f>
        <v>2130</v>
      </c>
    </row>
    <row r="716" spans="1:6" ht="72" customHeight="1" x14ac:dyDescent="0.2">
      <c r="A716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6" s="4" t="str">
        <f ca="1">IFERROR(__xludf.DUMMYFUNCTION("""COMPUTED_VALUE"""),"РАСШИРЕННЫЙ")</f>
        <v>РАСШИРЕННЫЙ</v>
      </c>
      <c r="C716" s="4" t="str">
        <f ca="1">IFERROR(__xludf.DUMMYFUNCTION("""COMPUTED_VALUE"""),"SSY1-RTL15B-MSAX")</f>
        <v>SSY1-RTL15B-MSAX</v>
      </c>
      <c r="D716" s="4" t="str">
        <f ca="1">IFERROR(__xludf.DUMMYFUNCTION("""COMPUTED_VALUE"""),"Продление подписки на обновления Mobile SMARTS: Магазин 15, РАСШИРЕННЫЙ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выб"&amp;"ор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РАСШИРЕННЫЙ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16" s="4" t="str">
        <f ca="1">IFERROR(__xludf.DUMMYFUNCTION("""COMPUTED_VALUE"""),"Продление подписки на обновления Mobile SMARTS: Магазин 15, РАСШИРЕННЫЙ для интеграции с Microsoft Dynamics AX (Axapta) через REST/OLE/TXT  на 1 (один) год")</f>
        <v>Продление подписки на обновления Mobile SMARTS: Магазин 15, РАСШИРЕННЫЙ для интеграции с Microsoft Dynamics AX (Axapta) через REST/OLE/TXT  на 1 (один) год</v>
      </c>
      <c r="F716" s="5">
        <f ca="1">IFERROR(__xludf.DUMMYFUNCTION("""COMPUTED_VALUE"""),3410)</f>
        <v>3410</v>
      </c>
    </row>
    <row r="717" spans="1:6" ht="72" customHeight="1" x14ac:dyDescent="0.2">
      <c r="A717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7" s="4" t="str">
        <f ca="1">IFERROR(__xludf.DUMMYFUNCTION("""COMPUTED_VALUE"""),"МЕГАМАРКЕТ")</f>
        <v>МЕГАМАРКЕТ</v>
      </c>
      <c r="C717" s="4" t="str">
        <f ca="1">IFERROR(__xludf.DUMMYFUNCTION("""COMPUTED_VALUE"""),"SSY1-RTL15C-MSAX")</f>
        <v>SSY1-RTL15C-MSAX</v>
      </c>
      <c r="D717" s="4" t="str">
        <f ca="1">IFERROR(__xludf.DUMMYFUNCTION("""COMPUTED_VALUE"""),"Продление подписки на обновления Mobile SMARTS: Магазин 15, МЕГАМАРКЕТ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выбо"&amp;"р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возм"&amp;"ожности: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МЕГАМАРКЕТ для интеграции с Microsoft Dynamics AX (Axapta) через REST/OLE/TXT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17" s="4" t="str">
        <f ca="1">IFERROR(__xludf.DUMMYFUNCTION("""COMPUTED_VALUE"""),"Продление подписки на обновления Mobile SMARTS: Магазин 15, МЕГАМАРКЕТ для интеграции с Microsoft Dynamics AX (Axapta) через REST/OLE/TXT  на 1 (один) год")</f>
        <v>Продление подписки на обновления Mobile SMARTS: Магазин 15, МЕГАМАРКЕТ для интеграции с Microsoft Dynamics AX (Axapta) через REST/OLE/TXT  на 1 (один) год</v>
      </c>
      <c r="F717" s="5">
        <f ca="1">IFERROR(__xludf.DUMMYFUNCTION("""COMPUTED_VALUE"""),4710)</f>
        <v>4710</v>
      </c>
    </row>
    <row r="718" spans="1:6" ht="72" customHeight="1" x14ac:dyDescent="0.2">
      <c r="A718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8" s="4" t="str">
        <f ca="1">IFERROR(__xludf.DUMMYFUNCTION("""COMPUTED_VALUE"""),"с ЕГАИС, БАЗОВЫЙ")</f>
        <v>с ЕГАИС, БАЗОВЫЙ</v>
      </c>
      <c r="C718" s="4" t="str">
        <f ca="1">IFERROR(__xludf.DUMMYFUNCTION("""COMPUTED_VALUE"""),"SSY1-RTL15AE-MSAX")</f>
        <v>SSY1-RTL15AE-MSAX</v>
      </c>
      <c r="D718" s="4" t="str">
        <f ca="1">IFERROR(__xludf.DUMMYFUNCTION("""COMPUTED_VALUE"""),"Продление подписки на обновления Mobile SMARTS: Магазин 15 с ЕГАИС,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ЕГ"&amp;"АИС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инвентаризация,"&amp;"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на"&amp;" 1 (один) год")</f>
        <v>Продление подписки на обновления Mobile SMARTS: Магазин 15 с ЕГАИС,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</v>
      </c>
      <c r="E718" s="4" t="str">
        <f ca="1">IFERROR(__xludf.DUMMYFUNCTION("""COMPUTED_VALUE"""),"Продление подписки на обновления Mobile SMARTS: Магазин 15 с ЕГАИС, БАЗОВЫЙ для интеграции с Microsoft Dynamics AX (Axapta) через REST/OLE/TXT  на 1 (один) год")</f>
        <v>Продление подписки на обновления Mobile SMARTS: Магазин 15 с ЕГАИС, БАЗОВЫЙ для интеграции с Microsoft Dynamics AX (Axapta) через REST/OLE/TXT  на 1 (один) год</v>
      </c>
      <c r="F718" s="5">
        <f ca="1">IFERROR(__xludf.DUMMYFUNCTION("""COMPUTED_VALUE"""),2600)</f>
        <v>2600</v>
      </c>
    </row>
    <row r="719" spans="1:6" ht="72" customHeight="1" x14ac:dyDescent="0.2">
      <c r="A719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19" s="4" t="str">
        <f ca="1">IFERROR(__xludf.DUMMYFUNCTION("""COMPUTED_VALUE"""),"с ЕГАИС, РАСШИРЕННЫЙ")</f>
        <v>с ЕГАИС, РАСШИРЕННЫЙ</v>
      </c>
      <c r="C719" s="4" t="str">
        <f ca="1">IFERROR(__xludf.DUMMYFUNCTION("""COMPUTED_VALUE"""),"SSY1-RTL15BE-MSAX")</f>
        <v>SSY1-RTL15BE-MSAX</v>
      </c>
      <c r="D719" s="4" t="str">
        <f ca="1">IFERROR(__xludf.DUMMYFUNCTION("""COMPUTED_VALUE"""),"Продление подписки на обновления Mobile SMARTS: Магазин 15 с ЕГАИС,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алкоголе"&amp;"м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инвентариза"&amp;"ция,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устр"&amp;"ойство на 1 (один) год")</f>
        <v>Продление подписки на обновления Mobile SMARTS: Магазин 15 с ЕГАИС,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19" s="4" t="str">
        <f ca="1">IFERROR(__xludf.DUMMYFUNCTION("""COMPUTED_VALUE"""),"Продление подписки на обновления Mobile SMARTS: Магазин 15 с ЕГАИС, РАСШИРЕННЫЙ для интеграции с Microsoft Dynamics AX (Axapta) через REST/OLE/TXT  на 1 (один) год")</f>
        <v>Продление подписки на обновления Mobile SMARTS: Магазин 15 с ЕГАИС, РАСШИРЕННЫЙ для интеграции с Microsoft Dynamics AX (Axapta) через REST/OLE/TXT  на 1 (один) год</v>
      </c>
      <c r="F719" s="5">
        <f ca="1">IFERROR(__xludf.DUMMYFUNCTION("""COMPUTED_VALUE"""),3890)</f>
        <v>3890</v>
      </c>
    </row>
    <row r="720" spans="1:6" ht="72" customHeight="1" x14ac:dyDescent="0.2">
      <c r="A720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0" s="4" t="str">
        <f ca="1">IFERROR(__xludf.DUMMYFUNCTION("""COMPUTED_VALUE"""),"с ЕГАИС (без CheckMark2), МЕГАМАРКЕТ")</f>
        <v>с ЕГАИС (без CheckMark2), МЕГАМАРКЕТ</v>
      </c>
      <c r="C720" s="4" t="str">
        <f ca="1">IFERROR(__xludf.DUMMYFUNCTION("""COMPUTED_VALUE"""),"SSY1-RTL15CEV-MSAX")</f>
        <v>SSY1-RTL15CEV-MSAX</v>
      </c>
      <c r="D720" s="4" t="str">
        <f ca="1">IFERROR(__xludf.DUMMYFUNCTION("""COMPUTED_VALUE"""),"Продление подписки на обновления Mobile SMARTS: Магазин 15 с ЕГАИС (без CheckMark2), МЕГАМАРКЕТ для интеграции с Microsoft Dynamics AX (Axapta) через REST/OLE/TXT / для самостоятельной разработки и интеграции обмена с учетной системой, для работы с маркир"&amp;"ованным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переоце"&amp;"нка,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св"&amp;"ои операции /  на 1 (одно) моб. устройство на 1 (один) год")</f>
        <v>Продление подписки на обновления Mobile SMARTS: Магазин 15 с ЕГАИС (без CheckMark2),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0" s="4" t="str">
        <f ca="1">IFERROR(__xludf.DUMMYFUNCTION("""COMPUTED_VALUE"""),"Продление подписки на обновления Mobile SMARTS: Магазин 15 с ЕГАИС (без CheckMark2), МЕГАМАРКЕТ для интеграции с Microsoft Dynamics AX (Axapta) через REST/OLE/TXT  на 1 (один) год")</f>
        <v>Продление подписки на обновления Mobile SMARTS: Магазин 15 с ЕГАИС (без CheckMark2), МЕГАМАРКЕТ для интеграции с Microsoft Dynamics AX (Axapta) через REST/OLE/TXT  на 1 (один) год</v>
      </c>
      <c r="F720" s="5">
        <f ca="1">IFERROR(__xludf.DUMMYFUNCTION("""COMPUTED_VALUE"""),5170)</f>
        <v>5170</v>
      </c>
    </row>
    <row r="721" spans="1:6" ht="72" customHeight="1" x14ac:dyDescent="0.2">
      <c r="A721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1" s="4" t="str">
        <f ca="1">IFERROR(__xludf.DUMMYFUNCTION("""COMPUTED_VALUE"""),"с МОТП, БАЗОВЫЙ")</f>
        <v>с МОТП, БАЗОВЫЙ</v>
      </c>
      <c r="C721" s="4" t="str">
        <f ca="1">IFERROR(__xludf.DUMMYFUNCTION("""COMPUTED_VALUE"""),"SSY1-RTL15AT-MSAX")</f>
        <v>SSY1-RTL15AT-MSAX</v>
      </c>
      <c r="D721" s="4" t="str">
        <f ca="1">IFERROR(__xludf.DUMMYFUNCTION("""COMPUTED_VALUE"""),"Продление подписки на обновления Mobile SMARTS: Магазин 15 с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тов"&amp;"аром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КМ"&amp;"),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"&amp;"на 1 (один) год")</f>
        <v>Продление подписки на обновления Mobile SMARTS: Магазин 15 с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1" s="4" t="str">
        <f ca="1">IFERROR(__xludf.DUMMYFUNCTION("""COMPUTED_VALUE"""),"Продление подписки на обновления Mobile SMARTS: Магазин 15 с МОТП, БАЗОВЫЙ для интеграции с Microsoft Dynamics AX (Axapta) через REST/OLE/TXT  на 1 (один) год")</f>
        <v>Продление подписки на обновления Mobile SMARTS: Магазин 15 с МОТП, БАЗОВЫЙ для интеграции с Microsoft Dynamics AX (Axapta) через REST/OLE/TXT  на 1 (один) год</v>
      </c>
      <c r="F721" s="5">
        <f ca="1">IFERROR(__xludf.DUMMYFUNCTION("""COMPUTED_VALUE"""),2630)</f>
        <v>2630</v>
      </c>
    </row>
    <row r="722" spans="1:6" ht="72" customHeight="1" x14ac:dyDescent="0.2">
      <c r="A722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2" s="4" t="str">
        <f ca="1">IFERROR(__xludf.DUMMYFUNCTION("""COMPUTED_VALUE"""),"с МОТП, РАСШИРЕННЫЙ")</f>
        <v>с МОТП, РАСШИРЕННЫЙ</v>
      </c>
      <c r="C722" s="4" t="str">
        <f ca="1">IFERROR(__xludf.DUMMYFUNCTION("""COMPUTED_VALUE"""),"SSY1-RTL15BT-MSAX")</f>
        <v>SSY1-RTL15BT-MSAX</v>
      </c>
      <c r="D722" s="4" t="str">
        <f ca="1">IFERROR(__xludf.DUMMYFUNCTION("""COMPUTED_VALUE"""),"Продление подписки на обновления Mobile SMARTS: Магазин 15 с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и"&amp;"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п"&amp;"о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устройс"&amp;"тво на 1 (один) год")</f>
        <v>Продление подписки на обновления Mobile SMARTS: Магазин 15 с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2" s="4" t="str">
        <f ca="1">IFERROR(__xludf.DUMMYFUNCTION("""COMPUTED_VALUE"""),"Продление подписки на обновления Mobile SMARTS: Магазин 15 с МОТП, РАСШИРЕННЫЙ для интеграции с Microsoft Dynamics AX (Axapta) через REST/OLE/TXT  на 1 (один) год")</f>
        <v>Продление подписки на обновления Mobile SMARTS: Магазин 15 с МОТП, РАСШИРЕННЫЙ для интеграции с Microsoft Dynamics AX (Axapta) через REST/OLE/TXT  на 1 (один) год</v>
      </c>
      <c r="F722" s="5">
        <f ca="1">IFERROR(__xludf.DUMMYFUNCTION("""COMPUTED_VALUE"""),3890)</f>
        <v>3890</v>
      </c>
    </row>
    <row r="723" spans="1:6" ht="72" customHeight="1" x14ac:dyDescent="0.2">
      <c r="A723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3" s="4" t="str">
        <f ca="1">IFERROR(__xludf.DUMMYFUNCTION("""COMPUTED_VALUE"""),"с МОТП, МЕГАМАРКЕТ")</f>
        <v>с МОТП, МЕГАМАРКЕТ</v>
      </c>
      <c r="C723" s="4" t="str">
        <f ca="1">IFERROR(__xludf.DUMMYFUNCTION("""COMPUTED_VALUE"""),"SSY1-RTL15CT-MSAX")</f>
        <v>SSY1-RTL15CT-MSAX</v>
      </c>
      <c r="D723" s="4" t="str">
        <f ca="1">IFERROR(__xludf.DUMMYFUNCTION("""COMPUTED_VALUE"""),"Продление подписки на обновления Mobile SMARTS: Магазин 15 с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"&amp;"товаром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по"&amp;"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1"&amp;" (одно) моб. устройство на 1 (один) год")</f>
        <v>Продление подписки на обновления Mobile SMARTS: Магазин 15 с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3" s="4" t="str">
        <f ca="1">IFERROR(__xludf.DUMMYFUNCTION("""COMPUTED_VALUE"""),"Продление подписки на обновления Mobile SMARTS: Магазин 15 с МОТП, МЕГАМАРКЕТ для интеграции с Microsoft Dynamics AX (Axapta) через REST/OLE/TXT  на 1 (один) год")</f>
        <v>Продление подписки на обновления Mobile SMARTS: Магазин 15 с МОТП, МЕГАМАРКЕТ для интеграции с Microsoft Dynamics AX (Axapta) через REST/OLE/TXT  на 1 (один) год</v>
      </c>
      <c r="F723" s="5">
        <f ca="1">IFERROR(__xludf.DUMMYFUNCTION("""COMPUTED_VALUE"""),5170)</f>
        <v>5170</v>
      </c>
    </row>
    <row r="724" spans="1:6" ht="72" customHeight="1" x14ac:dyDescent="0.2">
      <c r="A724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4" s="4" t="str">
        <f ca="1">IFERROR(__xludf.DUMMYFUNCTION("""COMPUTED_VALUE"""),"с ЕГАИС и МОТП, БАЗОВЫЙ")</f>
        <v>с ЕГАИС и МОТП, БАЗОВЫЙ</v>
      </c>
      <c r="C724" s="4" t="str">
        <f ca="1">IFERROR(__xludf.DUMMYFUNCTION("""COMPUTED_VALUE"""),"SSY1-RTL15AET-MSAX")</f>
        <v>SSY1-RTL15AET-MSAX</v>
      </c>
      <c r="D724" s="4" t="str">
        <f ca="1">IFERROR(__xludf.DUMMYFUNCTION("""COMPUTED_VALUE"""),"Продление подписки на обновления Mobile SMARTS: Магазин 15 с ЕГАИС и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АЛКОГ"&amp;"ОЛЕМ,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пере"&amp;"оценка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"&amp;"информация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4" s="4" t="str">
        <f ca="1">IFERROR(__xludf.DUMMYFUNCTION("""COMPUTED_VALUE"""),"Продление подписки на обновления Mobile SMARTS: Магазин 15 с ЕГАИС и МОТП, БАЗОВЫЙ для интеграции с Microsoft Dynamics AX (Axapta) через REST/OLE/TXT  на 1 (один) год")</f>
        <v>Продление подписки на обновления Mobile SMARTS: Магазин 15 с ЕГАИС и МОТП, БАЗОВЫЙ для интеграции с Microsoft Dynamics AX (Axapta) через REST/OLE/TXT  на 1 (один) год</v>
      </c>
      <c r="F724" s="5">
        <f ca="1">IFERROR(__xludf.DUMMYFUNCTION("""COMPUTED_VALUE"""),2830)</f>
        <v>2830</v>
      </c>
    </row>
    <row r="725" spans="1:6" ht="72" customHeight="1" x14ac:dyDescent="0.2">
      <c r="A725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5" s="4" t="str">
        <f ca="1">IFERROR(__xludf.DUMMYFUNCTION("""COMPUTED_VALUE"""),"с ЕГАИС и МОТП, РАСШИРЕННЫЙ")</f>
        <v>с ЕГАИС и МОТП, РАСШИРЕННЫЙ</v>
      </c>
      <c r="C725" s="4" t="str">
        <f ca="1">IFERROR(__xludf.DUMMYFUNCTION("""COMPUTED_VALUE"""),"SSY1-RTL15BET-MSAX")</f>
        <v>SSY1-RTL15BET-MSAX</v>
      </c>
      <c r="D725" s="4" t="str">
        <f ca="1">IFERROR(__xludf.DUMMYFUNCTION("""COMPUTED_VALUE"""),"Продление подписки на обновления Mobile SMARTS: Магазин 15 с ЕГАИС и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А"&amp;"ЛКОГОЛЕМ,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"&amp;"переоценка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возможнос"&amp;"ти: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5" s="4" t="str">
        <f ca="1">IFERROR(__xludf.DUMMYFUNCTION("""COMPUTED_VALUE"""),"Продление подписки на обновления Mobile SMARTS: Магазин 15 с ЕГАИС и МОТП, РАСШИРЕННЫЙ для интеграции с Microsoft Dynamics AX (Axapta) через REST/OLE/TXT  на 1 (один) год")</f>
        <v>Продление подписки на обновления Mobile SMARTS: Магазин 15 с ЕГАИС и МОТП, РАСШИРЕННЫЙ для интеграции с Microsoft Dynamics AX (Axapta) через REST/OLE/TXT  на 1 (один) год</v>
      </c>
      <c r="F725" s="5">
        <f ca="1">IFERROR(__xludf.DUMMYFUNCTION("""COMPUTED_VALUE"""),4110)</f>
        <v>4110</v>
      </c>
    </row>
    <row r="726" spans="1:6" ht="72" customHeight="1" x14ac:dyDescent="0.2">
      <c r="A726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6" s="4" t="str">
        <f ca="1">IFERROR(__xludf.DUMMYFUNCTION("""COMPUTED_VALUE"""),"с ЕГАИС и МОТП, МЕГАМАРКЕТ")</f>
        <v>с ЕГАИС и МОТП, МЕГАМАРКЕТ</v>
      </c>
      <c r="C726" s="4" t="str">
        <f ca="1">IFERROR(__xludf.DUMMYFUNCTION("""COMPUTED_VALUE"""),"SSY1-RTL15CET-MSAX")</f>
        <v>SSY1-RTL15CET-MSAX</v>
      </c>
      <c r="D726" s="4" t="str">
        <f ca="1">IFERROR(__xludf.DUMMYFUNCTION("""COMPUTED_VALUE"""),"Продление подписки на обновления Mobile SMARTS: Магазин 15 с ЕГАИС и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АЛ"&amp;"КОГОЛЕМ,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п"&amp;"ереоценка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возможност"&amp;"и: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6" s="4" t="str">
        <f ca="1">IFERROR(__xludf.DUMMYFUNCTION("""COMPUTED_VALUE"""),"Продление подписки на обновления Mobile SMARTS: Магазин 15 с ЕГАИС и МОТП, МЕГАМАРКЕТ для интеграции с Microsoft Dynamics AX (Axapta) через REST/OLE/TXT  на 1 (один) год")</f>
        <v>Продление подписки на обновления Mobile SMARTS: Магазин 15 с ЕГАИС и МОТП, МЕГАМАРКЕТ для интеграции с Microsoft Dynamics AX (Axapta) через REST/OLE/TXT  на 1 (один) год</v>
      </c>
      <c r="F726" s="5">
        <f ca="1">IFERROR(__xludf.DUMMYFUNCTION("""COMPUTED_VALUE"""),5670)</f>
        <v>5670</v>
      </c>
    </row>
    <row r="727" spans="1:6" ht="72" customHeight="1" x14ac:dyDescent="0.2">
      <c r="A727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7" s="4" t="str">
        <f ca="1">IFERROR(__xludf.DUMMYFUNCTION("""COMPUTED_VALUE"""),"ШМОТКИ, БАЗОВЫЙ")</f>
        <v>ШМОТКИ, БАЗОВЫЙ</v>
      </c>
      <c r="C727" s="4" t="str">
        <f ca="1">IFERROR(__xludf.DUMMYFUNCTION("""COMPUTED_VALUE"""),"SSY1-RTL15AK-MSAX")</f>
        <v>SSY1-RTL15AK-MSAX</v>
      </c>
      <c r="D727" s="4" t="str">
        <f ca="1">IFERROR(__xludf.DUMMYFUNCTION("""COMPUTED_VALUE"""),"Продление подписки на обновления Mobile SMARTS: Магазин 15 с КИРОВКОЙ,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О"&amp;"ДЕЖДОЙ,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подбор"&amp;"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/"&amp;"  на 1 (одно) моб. устройство на 1 (один) год")</f>
        <v>Продление подписки на обновления Mobile SMARTS: Магазин 15 с КИРОВКОЙ,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7" s="4" t="str">
        <f ca="1">IFERROR(__xludf.DUMMYFUNCTION("""COMPUTED_VALUE"""),"Продление подписки на обновления Mobile SMARTS: Магазин 15 с КИРОВКОЙ, БАЗОВЫЙ для интеграции с Microsoft Dynamics AX (Axapta) через REST/OLE/TXT  на 1 (один) год")</f>
        <v>Продление подписки на обновления Mobile SMARTS: Магазин 15 с КИРОВКОЙ, БАЗОВЫЙ для интеграции с Microsoft Dynamics AX (Axapta) через REST/OLE/TXT  на 1 (один) год</v>
      </c>
      <c r="F727" s="5">
        <f ca="1">IFERROR(__xludf.DUMMYFUNCTION("""COMPUTED_VALUE"""),2830)</f>
        <v>2830</v>
      </c>
    </row>
    <row r="728" spans="1:6" ht="72" customHeight="1" x14ac:dyDescent="0.2">
      <c r="A728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8" s="4" t="str">
        <f ca="1">IFERROR(__xludf.DUMMYFUNCTION("""COMPUTED_VALUE"""),"ШМОТКИ, РАСШИРЕННЫЙ")</f>
        <v>ШМОТКИ, РАСШИРЕННЫЙ</v>
      </c>
      <c r="C728" s="4" t="str">
        <f ca="1">IFERROR(__xludf.DUMMYFUNCTION("""COMPUTED_VALUE"""),"SSY1-RTL15BK-MSAX")</f>
        <v>SSY1-RTL15BK-MSAX</v>
      </c>
      <c r="D728" s="4" t="str">
        <f ca="1">IFERROR(__xludf.DUMMYFUNCTION("""COMPUTED_VALUE"""),"Продление подписки на обновления Mobile SMARTS: Магазин 15 с КИРОВКОЙ,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ОБУВЬ"&amp;"Ю,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по"&amp;"дбор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операц"&amp;"ии /  на 1 (одно) моб. устройство на 1 (один) год")</f>
        <v>Продление подписки на обновления Mobile SMARTS: Магазин 15 с КИРОВКОЙ,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8" s="4" t="str">
        <f ca="1">IFERROR(__xludf.DUMMYFUNCTION("""COMPUTED_VALUE"""),"Продление подписки на обновления Mobile SMARTS: Магазин 15 с КИРОВКОЙ, РАСШИРЕННЫЙ для интеграции с Microsoft Dynamics AX (Axapta) через REST/OLE/TXT  на 1 (один) год")</f>
        <v>Продление подписки на обновления Mobile SMARTS: Магазин 15 с КИРОВКОЙ, РАСШИРЕННЫЙ для интеграции с Microsoft Dynamics AX (Axapta) через REST/OLE/TXT  на 1 (один) год</v>
      </c>
      <c r="F728" s="5">
        <f ca="1">IFERROR(__xludf.DUMMYFUNCTION("""COMPUTED_VALUE"""),4110)</f>
        <v>4110</v>
      </c>
    </row>
    <row r="729" spans="1:6" ht="72" customHeight="1" x14ac:dyDescent="0.2">
      <c r="A729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29" s="4" t="str">
        <f ca="1">IFERROR(__xludf.DUMMYFUNCTION("""COMPUTED_VALUE"""),"ШМОТКИ, МЕГАМАРКЕТ")</f>
        <v>ШМОТКИ, МЕГАМАРКЕТ</v>
      </c>
      <c r="C729" s="4" t="str">
        <f ca="1">IFERROR(__xludf.DUMMYFUNCTION("""COMPUTED_VALUE"""),"SSY1-RTL15CK-MSAX")</f>
        <v>SSY1-RTL15CK-MSAX</v>
      </c>
      <c r="D729" s="4" t="str">
        <f ca="1">IFERROR(__xludf.DUMMYFUNCTION("""COMPUTED_VALUE"""),"Продление подписки на обновления Mobile SMARTS: Магазин 15 с КИРОВКОЙ,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ОБУВЬЮ"&amp;",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под"&amp;"бор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д"&amp;"обавлять свои операции /  на 1 (одно) моб. устройство на 1 (один) год")</f>
        <v>Продление подписки на обновления Mobile SMARTS: Магазин 15 с КИРОВКОЙ,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29" s="4" t="str">
        <f ca="1">IFERROR(__xludf.DUMMYFUNCTION("""COMPUTED_VALUE"""),"Продление подписки на обновления Mobile SMARTS: Магазин 15 с КИРОВКОЙ, МЕГАМАРКЕТ для интеграции с Microsoft Dynamics AX (Axapta) через REST/OLE/TXT  на 1 (один) год")</f>
        <v>Продление подписки на обновления Mobile SMARTS: Магазин 15 с КИРОВКОЙ, МЕГАМАРКЕТ для интеграции с Microsoft Dynamics AX (Axapta) через REST/OLE/TXT  на 1 (один) год</v>
      </c>
      <c r="F729" s="5">
        <f ca="1">IFERROR(__xludf.DUMMYFUNCTION("""COMPUTED_VALUE"""),5670)</f>
        <v>5670</v>
      </c>
    </row>
    <row r="730" spans="1:6" ht="72" customHeight="1" x14ac:dyDescent="0.2">
      <c r="A730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0" s="4" t="str">
        <f ca="1">IFERROR(__xludf.DUMMYFUNCTION("""COMPUTED_VALUE"""),"с МДЛП, БАЗОВЫЙ")</f>
        <v>с МДЛП, БАЗОВЫЙ</v>
      </c>
      <c r="C730" s="4" t="str">
        <f ca="1">IFERROR(__xludf.DUMMYFUNCTION("""COMPUTED_VALUE"""),"SSY1-RTL15AL-MSAX")</f>
        <v>SSY1-RTL15AL-MSAX</v>
      </c>
      <c r="D730" s="4" t="str">
        <f ca="1">IFERROR(__xludf.DUMMYFUNCTION("""COMPUTED_VALUE"""),"Продление подписки на обновления Mobile SMARTS: Магазин 15 с МДЛП,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ЛЕКА"&amp;"РСТВА,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т."&amp;"ч.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(одно)"&amp;" моб. устройство на 1 (один) год")</f>
        <v>Продление подписки на обновления Mobile SMARTS: Магазин 15 с МДЛП,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30" s="4" t="str">
        <f ca="1">IFERROR(__xludf.DUMMYFUNCTION("""COMPUTED_VALUE"""),"Продление подписки на обновления Mobile SMARTS: Магазин 15 с МДЛП, БАЗОВЫЙ для интеграции с Microsoft Dynamics AX (Axapta) через REST/OLE/TXT  на 1 (один) год")</f>
        <v>Продление подписки на обновления Mobile SMARTS: Магазин 15 с МДЛП, БАЗОВЫЙ для интеграции с Microsoft Dynamics AX (Axapta) через REST/OLE/TXT  на 1 (один) год</v>
      </c>
      <c r="F730" s="5">
        <f ca="1">IFERROR(__xludf.DUMMYFUNCTION("""COMPUTED_VALUE"""),2091.6)</f>
        <v>2091.6</v>
      </c>
    </row>
    <row r="731" spans="1:6" ht="72" customHeight="1" x14ac:dyDescent="0.2">
      <c r="A731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1" s="4" t="str">
        <f ca="1">IFERROR(__xludf.DUMMYFUNCTION("""COMPUTED_VALUE"""),"с МДЛП, РАСШИРЕННЫЙ")</f>
        <v>с МДЛП, РАСШИРЕННЫЙ</v>
      </c>
      <c r="C731" s="4" t="str">
        <f ca="1">IFERROR(__xludf.DUMMYFUNCTION("""COMPUTED_VALUE"""),"SSY1-RTL15BL-MSAX")</f>
        <v>SSY1-RTL15BL-MSAX</v>
      </c>
      <c r="D731" s="4" t="str">
        <f ca="1">IFERROR(__xludf.DUMMYFUNCTION("""COMPUTED_VALUE"""),"Продление подписки на обновления Mobile SMARTS: Магазин 15 с МДЛП,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"&amp;"ЛЕКАРСТВА,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("&amp;"в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(о"&amp;"дно) моб. устройство на 1 (один) год")</f>
        <v>Продление подписки на обновления Mobile SMARTS: Магазин 15 с МДЛП,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31" s="4" t="str">
        <f ca="1">IFERROR(__xludf.DUMMYFUNCTION("""COMPUTED_VALUE"""),"Продление подписки на обновления Mobile SMARTS: Магазин 15 с МДЛП, РАСШИРЕННЫЙ для интеграции с Microsoft Dynamics AX (Axapta) через REST/OLE/TXT  на 1 (один) год")</f>
        <v>Продление подписки на обновления Mobile SMARTS: Магазин 15 с МДЛП, РАСШИРЕННЫЙ для интеграции с Microsoft Dynamics AX (Axapta) через REST/OLE/TXT  на 1 (один) год</v>
      </c>
      <c r="F731" s="5">
        <f ca="1">IFERROR(__xludf.DUMMYFUNCTION("""COMPUTED_VALUE"""),3075.6)</f>
        <v>3075.6</v>
      </c>
    </row>
    <row r="732" spans="1:6" ht="72" customHeight="1" x14ac:dyDescent="0.2">
      <c r="A732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2" s="4" t="str">
        <f ca="1">IFERROR(__xludf.DUMMYFUNCTION("""COMPUTED_VALUE"""),"с МДЛП, МЕГАМАРКЕТ")</f>
        <v>с МДЛП, МЕГАМАРКЕТ</v>
      </c>
      <c r="C732" s="4" t="str">
        <f ca="1">IFERROR(__xludf.DUMMYFUNCTION("""COMPUTED_VALUE"""),"SSY1-RTL15CL-MSAX")</f>
        <v>SSY1-RTL15CL-MSAX</v>
      </c>
      <c r="D732" s="4" t="str">
        <f ca="1">IFERROR(__xludf.DUMMYFUNCTION("""COMPUTED_VALUE"""),"Продление подписки на обновления Mobile SMARTS: Магазин 15 с МДЛП,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Л"&amp;"ЕКАРСТВА,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(в"&amp;"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свои"&amp;" операции /  на 1 (одно) моб. устройство на 1 (один) год")</f>
        <v>Продление подписки на обновления Mobile SMARTS: Магазин 15 с МДЛП,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32" s="4" t="str">
        <f ca="1">IFERROR(__xludf.DUMMYFUNCTION("""COMPUTED_VALUE"""),"Продление подписки на обновления Mobile SMARTS: Магазин 15 с МДЛП, МЕГАМАРКЕТ для интеграции с Microsoft Dynamics AX (Axapta) через REST/OLE/TXT  на 1 (один) год")</f>
        <v>Продление подписки на обновления Mobile SMARTS: Магазин 15 с МДЛП, МЕГАМАРКЕТ для интеграции с Microsoft Dynamics AX (Axapta) через REST/OLE/TXT  на 1 (один) год</v>
      </c>
      <c r="F732" s="5">
        <f ca="1">IFERROR(__xludf.DUMMYFUNCTION("""COMPUTED_VALUE"""),4539.6)</f>
        <v>4539.6000000000004</v>
      </c>
    </row>
    <row r="733" spans="1:6" ht="72" customHeight="1" x14ac:dyDescent="0.2">
      <c r="A733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3" s="4" t="str">
        <f ca="1">IFERROR(__xludf.DUMMYFUNCTION("""COMPUTED_VALUE"""),"ПРОДУКТОВЫЙ, БАЗОВЫЙ")</f>
        <v>ПРОДУКТОВЫЙ, БАЗОВЫЙ</v>
      </c>
      <c r="C733" s="4" t="str">
        <f ca="1">IFERROR(__xludf.DUMMYFUNCTION("""COMPUTED_VALUE"""),"SSY1-RTL15AG-MSAX")</f>
        <v>SSY1-RTL15AG-MSAX</v>
      </c>
      <c r="D733" s="4" t="str">
        <f ca="1">IFERROR(__xludf.DUMMYFUNCTION("""COMPUTED_VALUE"""),"Продление подписки на обновления Mobile SMARTS: Магазин 15 ПРОДУКТОВЫЙ,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товаром:"&amp;"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"&amp;"т.ч.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с"&amp;"правочников,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33" s="4" t="str">
        <f ca="1">IFERROR(__xludf.DUMMYFUNCTION("""COMPUTED_VALUE"""),"Продление подписки на обновления Mobile SMARTS: Магазин 15 ПРОДУКТОВЫЙ, БАЗОВЫЙ для интеграции с Microsoft Dynamics AX (Axapta) через REST/OLE/TXT  на 1 (один) год")</f>
        <v>Продление подписки на обновления Mobile SMARTS: Магазин 15 ПРОДУКТОВЫЙ, БАЗОВЫЙ для интеграции с Microsoft Dynamics AX (Axapta) через REST/OLE/TXT  на 1 (один) год</v>
      </c>
      <c r="F733" s="5">
        <f ca="1">IFERROR(__xludf.DUMMYFUNCTION("""COMPUTED_VALUE"""),2631.6)</f>
        <v>2631.6</v>
      </c>
    </row>
    <row r="734" spans="1:6" ht="72" customHeight="1" x14ac:dyDescent="0.2">
      <c r="A734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4" s="4" t="str">
        <f ca="1">IFERROR(__xludf.DUMMYFUNCTION("""COMPUTED_VALUE"""),"ПРОДУКТОВЫЙ, РАСШИРЕННЫЙ")</f>
        <v>ПРОДУКТОВЫЙ, РАСШИРЕННЫЙ</v>
      </c>
      <c r="C734" s="4" t="str">
        <f ca="1">IFERROR(__xludf.DUMMYFUNCTION("""COMPUTED_VALUE"""),"SSY1-RTL15BG-MSAX")</f>
        <v>SSY1-RTL15BG-MSAX</v>
      </c>
      <c r="D734" s="4" t="str">
        <f ca="1">IFERROR(__xludf.DUMMYFUNCTION("""COMPUTED_VALUE"""),"Продление подписки на обновления Mobile SMARTS: Магазин 15 ПРОДУКТОВЫЙ,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това"&amp;"ром: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поступление"&amp;"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просмо"&amp;"тр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34" s="4" t="str">
        <f ca="1">IFERROR(__xludf.DUMMYFUNCTION("""COMPUTED_VALUE"""),"Продление подписки на обновления Mobile SMARTS: Магазин 15 ПРОДУКТОВЫЙ, РАСШИРЕННЫЙ для интеграции с Microsoft Dynamics AX (Axapta) через REST/OLE/TXT  на 1 (один) год")</f>
        <v>Продление подписки на обновления Mobile SMARTS: Магазин 15 ПРОДУКТОВЫЙ, РАСШИРЕННЫЙ для интеграции с Microsoft Dynamics AX (Axapta) через REST/OLE/TXT  на 1 (один) год</v>
      </c>
      <c r="F734" s="5">
        <f ca="1">IFERROR(__xludf.DUMMYFUNCTION("""COMPUTED_VALUE"""),3615.6)</f>
        <v>3615.6</v>
      </c>
    </row>
    <row r="735" spans="1:6" ht="72" customHeight="1" x14ac:dyDescent="0.2">
      <c r="A735" s="4" t="str">
        <f ca="1">IFERROR(__xludf.DUMMYFUNCTION("""COMPUTED_VALUE"""),"интеграции с Microsoft Dynamics AX (Axapta) через REST/OLE/TXT")</f>
        <v>интеграции с Microsoft Dynamics AX (Axapta) через REST/OLE/TXT</v>
      </c>
      <c r="B735" s="4" t="str">
        <f ca="1">IFERROR(__xludf.DUMMYFUNCTION("""COMPUTED_VALUE"""),"ПРОДУКТОВЫЙ, МЕГАМАРКЕТ")</f>
        <v>ПРОДУКТОВЫЙ, МЕГАМАРКЕТ</v>
      </c>
      <c r="C735" s="4" t="str">
        <f ca="1">IFERROR(__xludf.DUMMYFUNCTION("""COMPUTED_VALUE"""),"SSY1-RTL15CG-MSAX")</f>
        <v>SSY1-RTL15CG-MSAX</v>
      </c>
      <c r="D735" s="4" t="str">
        <f ca="1">IFERROR(__xludf.DUMMYFUNCTION("""COMPUTED_VALUE"""),"Продление подписки на обновления Mobile SMARTS: Магазин 15 ПРОДУКТОВЫЙ,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товар"&amp;"ом: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"&amp;"(в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просмот"&amp;"р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(один"&amp;") год")</f>
        <v>Продление подписки на обновления Mobile SMARTS: Магазин 15 ПРОДУКТОВЫЙ, МЕГАМАРКЕТ для интеграции с Microsoft Dynamics AX (Axapta) через REST/OLE/TXT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35" s="4" t="str">
        <f ca="1">IFERROR(__xludf.DUMMYFUNCTION("""COMPUTED_VALUE"""),"Продление подписки на обновления Mobile SMARTS: Магазин 15 ПРОДУКТОВЫЙ, МЕГАМАРКЕТ для интеграции с Microsoft Dynamics AX (Axapta) через REST/OLE/TXT  на 1 (один) год")</f>
        <v>Продление подписки на обновления Mobile SMARTS: Магазин 15 ПРОДУКТОВЫЙ, МЕГАМАРКЕТ для интеграции с Microsoft Dynamics AX (Axapta) через REST/OLE/TXT  на 1 (один) год</v>
      </c>
      <c r="F735" s="5">
        <f ca="1">IFERROR(__xludf.DUMMYFUNCTION("""COMPUTED_VALUE"""),6033.8)</f>
        <v>6033.8</v>
      </c>
    </row>
    <row r="736" spans="1:6" ht="72" customHeight="1" x14ac:dyDescent="0.2">
      <c r="A736" s="4" t="str">
        <f ca="1">IFERROR(__xludf.DUMMYFUNCTION("""COMPUTED_VALUE"""),"баз данных на Microsoft SQL Server")</f>
        <v>баз данных на Microsoft SQL Server</v>
      </c>
      <c r="B736" s="4" t="str">
        <f ca="1">IFERROR(__xludf.DUMMYFUNCTION("""COMPUTED_VALUE"""),"МИНИМУМ")</f>
        <v>МИНИМУМ</v>
      </c>
      <c r="C736" s="4" t="str">
        <f ca="1">IFERROR(__xludf.DUMMYFUNCTION("""COMPUTED_VALUE"""),"SSY1-RTL15M-MSSQL")</f>
        <v>SSY1-RTL15M-MSSQL</v>
      </c>
      <c r="D736" s="4" t="str">
        <f ca="1">IFERROR(__xludf.DUMMYFUNCTION("""COMPUTED_VALUE"""),"Продление подписки на обновления Mobile SMARTS: Магазин 15, МИНИМУМ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об"&amp;"мен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"&amp;"(один) год")</f>
        <v>Продление подписки на обновления Mobile SMARTS: Магазин 15, МИНИМУМ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сбор штрихкодов, инвентаризация, просмотр товаров, настройка / возможности: информация о товаре на экране / нельзя изменять существующие операции / нельзя добавлять свои операции /  на 1 (одно) моб. устройство на 1 (один) год</v>
      </c>
      <c r="E736" s="4" t="str">
        <f ca="1">IFERROR(__xludf.DUMMYFUNCTION("""COMPUTED_VALUE"""),"Продление подписки на обновления Mobile SMARTS: Магазин 15, МИНИМУМ для баз данных на Microsoft SQL Server  на 1 (один) год")</f>
        <v>Продление подписки на обновления Mobile SMARTS: Магазин 15, МИНИМУМ для баз данных на Microsoft SQL Server  на 1 (один) год</v>
      </c>
      <c r="F736" s="5">
        <f ca="1">IFERROR(__xludf.DUMMYFUNCTION("""COMPUTED_VALUE"""),1090)</f>
        <v>1090</v>
      </c>
    </row>
    <row r="737" spans="1:6" ht="72" customHeight="1" x14ac:dyDescent="0.2">
      <c r="A737" s="4" t="str">
        <f ca="1">IFERROR(__xludf.DUMMYFUNCTION("""COMPUTED_VALUE"""),"баз данных на Microsoft SQL Server")</f>
        <v>баз данных на Microsoft SQL Server</v>
      </c>
      <c r="B737" s="4" t="str">
        <f ca="1">IFERROR(__xludf.DUMMYFUNCTION("""COMPUTED_VALUE"""),"БАЗОВЫЙ")</f>
        <v>БАЗОВЫЙ</v>
      </c>
      <c r="C737" s="4" t="str">
        <f ca="1">IFERROR(__xludf.DUMMYFUNCTION("""COMPUTED_VALUE"""),"SSY1-RTL15A-MSSQL")</f>
        <v>SSY1-RTL15A-MSSQL</v>
      </c>
      <c r="D737" s="4" t="str">
        <f ca="1">IFERROR(__xludf.DUMMYFUNCTION("""COMPUTED_VALUE"""),"Продление подписки на обновления Mobile SMARTS: Магазин 15, БАЗОВЫЙ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об"&amp;"мен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с"&amp;"кладах,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БАЗОВЫЙ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нет онлайна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37" s="4" t="str">
        <f ca="1">IFERROR(__xludf.DUMMYFUNCTION("""COMPUTED_VALUE"""),"Продление подписки на обновления Mobile SMARTS: Магазин 15, БАЗОВЫЙ для баз данных на Microsoft SQL Server  на 1 (один) год")</f>
        <v>Продление подписки на обновления Mobile SMARTS: Магазин 15, БАЗОВЫЙ для баз данных на Microsoft SQL Server  на 1 (один) год</v>
      </c>
      <c r="F737" s="5">
        <f ca="1">IFERROR(__xludf.DUMMYFUNCTION("""COMPUTED_VALUE"""),2130)</f>
        <v>2130</v>
      </c>
    </row>
    <row r="738" spans="1:6" ht="72" customHeight="1" x14ac:dyDescent="0.2">
      <c r="A738" s="4" t="str">
        <f ca="1">IFERROR(__xludf.DUMMYFUNCTION("""COMPUTED_VALUE"""),"баз данных на Microsoft SQL Server")</f>
        <v>баз данных на Microsoft SQL Server</v>
      </c>
      <c r="B738" s="4" t="str">
        <f ca="1">IFERROR(__xludf.DUMMYFUNCTION("""COMPUTED_VALUE"""),"РАСШИРЕННЫЙ")</f>
        <v>РАСШИРЕННЫЙ</v>
      </c>
      <c r="C738" s="4" t="str">
        <f ca="1">IFERROR(__xludf.DUMMYFUNCTION("""COMPUTED_VALUE"""),"SSY1-RTL15B-MSSQL")</f>
        <v>SSY1-RTL15B-MSSQL</v>
      </c>
      <c r="D738" s="4" t="str">
        <f ca="1">IFERROR(__xludf.DUMMYFUNCTION("""COMPUTED_VALUE"""),"Продление подписки на обновления Mobile SMARTS: Магазин 15, РАСШИРЕННЫЙ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беспроводно"&amp;"й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товар"&amp;"е,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РАСШИРЕННЫЙ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38" s="4" t="str">
        <f ca="1">IFERROR(__xludf.DUMMYFUNCTION("""COMPUTED_VALUE"""),"Продление подписки на обновления Mobile SMARTS: Магазин 15, РАСШИРЕННЫЙ для баз данных на Microsoft SQL Server  на 1 (один) год")</f>
        <v>Продление подписки на обновления Mobile SMARTS: Магазин 15, РАСШИРЕННЫЙ для баз данных на Microsoft SQL Server  на 1 (один) год</v>
      </c>
      <c r="F738" s="5">
        <f ca="1">IFERROR(__xludf.DUMMYFUNCTION("""COMPUTED_VALUE"""),3410)</f>
        <v>3410</v>
      </c>
    </row>
    <row r="739" spans="1:6" ht="72" customHeight="1" x14ac:dyDescent="0.2">
      <c r="A739" s="4" t="str">
        <f ca="1">IFERROR(__xludf.DUMMYFUNCTION("""COMPUTED_VALUE"""),"баз данных на Microsoft SQL Server")</f>
        <v>баз данных на Microsoft SQL Server</v>
      </c>
      <c r="B739" s="4" t="str">
        <f ca="1">IFERROR(__xludf.DUMMYFUNCTION("""COMPUTED_VALUE"""),"МЕГАМАРКЕТ")</f>
        <v>МЕГАМАРКЕТ</v>
      </c>
      <c r="C739" s="4" t="str">
        <f ca="1">IFERROR(__xludf.DUMMYFUNCTION("""COMPUTED_VALUE"""),"SSY1-RTL15C-MSSQL")</f>
        <v>SSY1-RTL15C-MSSQL</v>
      </c>
      <c r="D739" s="4" t="str">
        <f ca="1">IFERROR(__xludf.DUMMYFUNCTION("""COMPUTED_VALUE"""),"Продление подписки на обновления Mobile SMARTS: Магазин 15, МЕГАМАРКЕТ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беспроводной"&amp;"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работа"&amp;",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15, МЕГАМАРКЕТ для баз данных на Microsoft SQL Server / для самостоятельной разработки и интеграции обмена с учетной системой, для работы с товаром по штрихкодам / на выбор проводной или беспроводной обмен / есть ОНЛАЙН / доступные операции: поступление, инвентаризация, переоценка (в т.ч. с печатью на мобильный принтер), списание, возврат, подбор заказа,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39" s="4" t="str">
        <f ca="1">IFERROR(__xludf.DUMMYFUNCTION("""COMPUTED_VALUE"""),"Продление подписки на обновления Mobile SMARTS: Магазин 15, МЕГАМАРКЕТ для баз данных на Microsoft SQL Server  на 1 (один) год")</f>
        <v>Продление подписки на обновления Mobile SMARTS: Магазин 15, МЕГАМАРКЕТ для баз данных на Microsoft SQL Server  на 1 (один) год</v>
      </c>
      <c r="F739" s="5">
        <f ca="1">IFERROR(__xludf.DUMMYFUNCTION("""COMPUTED_VALUE"""),4710)</f>
        <v>4710</v>
      </c>
    </row>
    <row r="740" spans="1:6" ht="72" customHeight="1" x14ac:dyDescent="0.2">
      <c r="A740" s="4" t="str">
        <f ca="1">IFERROR(__xludf.DUMMYFUNCTION("""COMPUTED_VALUE"""),"баз данных на Microsoft SQL Server")</f>
        <v>баз данных на Microsoft SQL Server</v>
      </c>
      <c r="B740" s="4" t="str">
        <f ca="1">IFERROR(__xludf.DUMMYFUNCTION("""COMPUTED_VALUE"""),"с ЕГАИС, БАЗОВЫЙ")</f>
        <v>с ЕГАИС, БАЗОВЫЙ</v>
      </c>
      <c r="C740" s="4" t="str">
        <f ca="1">IFERROR(__xludf.DUMMYFUNCTION("""COMPUTED_VALUE"""),"SSY1-RTL15AE-MSSQL")</f>
        <v>SSY1-RTL15AE-MSSQL</v>
      </c>
      <c r="D740" s="4" t="str">
        <f ca="1">IFERROR(__xludf.DUMMYFUNCTION("""COMPUTED_VALUE"""),"Продление подписки на обновления Mobile SMARTS: Магазин 15 с ЕГАИС, БАЗОВЫЙ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"&amp;"/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с"&amp;"правочников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год")</f>
        <v>Продление подписки на обновления Mobile SMARTS: Магазин 15 с ЕГАИС, БАЗОВЫЙ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нельзя добавлять свои операции /  на 1 (одно) моб. устройство на 1 (один) год</v>
      </c>
      <c r="E740" s="4" t="str">
        <f ca="1">IFERROR(__xludf.DUMMYFUNCTION("""COMPUTED_VALUE"""),"Продление подписки на обновления Mobile SMARTS: Магазин 15 с ЕГАИС, БАЗОВЫЙ для баз данных на Microsoft SQL Server  на 1 (один) год")</f>
        <v>Продление подписки на обновления Mobile SMARTS: Магазин 15 с ЕГАИС, БАЗОВЫЙ для баз данных на Microsoft SQL Server  на 1 (один) год</v>
      </c>
      <c r="F740" s="5">
        <f ca="1">IFERROR(__xludf.DUMMYFUNCTION("""COMPUTED_VALUE"""),2600)</f>
        <v>2600</v>
      </c>
    </row>
    <row r="741" spans="1:6" ht="72" customHeight="1" x14ac:dyDescent="0.2">
      <c r="A741" s="4" t="str">
        <f ca="1">IFERROR(__xludf.DUMMYFUNCTION("""COMPUTED_VALUE"""),"баз данных на Microsoft SQL Server")</f>
        <v>баз данных на Microsoft SQL Server</v>
      </c>
      <c r="B741" s="4" t="str">
        <f ca="1">IFERROR(__xludf.DUMMYFUNCTION("""COMPUTED_VALUE"""),"с ЕГАИС, РАСШИРЕННЫЙ")</f>
        <v>с ЕГАИС, РАСШИРЕННЫЙ</v>
      </c>
      <c r="C741" s="4" t="str">
        <f ca="1">IFERROR(__xludf.DUMMYFUNCTION("""COMPUTED_VALUE"""),"SSY1-RTL15BE-MSSQL")</f>
        <v>SSY1-RTL15BE-MSSQL</v>
      </c>
      <c r="D741" s="4" t="str">
        <f ca="1">IFERROR(__xludf.DUMMYFUNCTION("""COMPUTED_VALUE"""),"Продление подписки на обновления Mobile SMARTS: Магазин 15 с ЕГАИС,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штрихко"&amp;"дам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просмо"&amp;"тр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печать на мобильный принтер,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41" s="4" t="str">
        <f ca="1">IFERROR(__xludf.DUMMYFUNCTION("""COMPUTED_VALUE"""),"Продление подписки на обновления Mobile SMARTS: Магазин 15 с ЕГАИС, РАСШИРЕННЫЙ для баз данных на Microsoft SQL Server  на 1 (один) год")</f>
        <v>Продление подписки на обновления Mobile SMARTS: Магазин 15 с ЕГАИС, РАСШИРЕННЫЙ для баз данных на Microsoft SQL Server  на 1 (один) год</v>
      </c>
      <c r="F741" s="5">
        <f ca="1">IFERROR(__xludf.DUMMYFUNCTION("""COMPUTED_VALUE"""),3890)</f>
        <v>3890</v>
      </c>
    </row>
    <row r="742" spans="1:6" ht="72" customHeight="1" x14ac:dyDescent="0.2">
      <c r="A742" s="4" t="str">
        <f ca="1">IFERROR(__xludf.DUMMYFUNCTION("""COMPUTED_VALUE"""),"баз данных на Microsoft SQL Server")</f>
        <v>баз данных на Microsoft SQL Server</v>
      </c>
      <c r="B742" s="4" t="str">
        <f ca="1">IFERROR(__xludf.DUMMYFUNCTION("""COMPUTED_VALUE"""),"с ЕГАИС (без CheckMark2), МЕГАМАРКЕТ")</f>
        <v>с ЕГАИС (без CheckMark2), МЕГАМАРКЕТ</v>
      </c>
      <c r="C742" s="4" t="str">
        <f ca="1">IFERROR(__xludf.DUMMYFUNCTION("""COMPUTED_VALUE"""),"SSY1-RTL15CEV-MSSQL")</f>
        <v>SSY1-RTL15CEV-MSSQL</v>
      </c>
      <c r="D742" s="4" t="str">
        <f ca="1">IFERROR(__xludf.DUMMYFUNCTION("""COMPUTED_VALUE"""),"Продление подписки на обновления Mobile SMARTS: Магазин 15 с ЕГАИС (без CheckMark2), МЕГАМАРКЕТ для баз данных на Microsoft SQL Server / для самостоятельной разработки и интеграции обмена с учетной системой, для работы с маркированным алкоголем ЕГАИС и то"&amp;"варом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шт"&amp;"рихкодов,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м"&amp;"об. устройство на 1 (один) год")</f>
        <v>Продление подписки на обновления Mobile SMARTS: Магазин 15 с ЕГАИС (без CheckMark2), МЕГАМАРКЕТ для баз данных на Microsoft SQL Server / для самостоятельной разработки и интеграции обмена с учетной системой, для работы с маркированным алкоголем ЕГАИС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поступление, подбор заказа, возврат, перемещение, переоценка, инвентаризация, сбор штрихкодов, просмотр справочников / возможности: коллективная работа, печать на мобильный принтер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42" s="4" t="str">
        <f ca="1">IFERROR(__xludf.DUMMYFUNCTION("""COMPUTED_VALUE"""),"Продление подписки на обновления Mobile SMARTS: Магазин 15 с ЕГАИС (без CheckMark2), МЕГАМАРКЕТ для баз данных на Microsoft SQL Server  на 1 (один) год")</f>
        <v>Продление подписки на обновления Mobile SMARTS: Магазин 15 с ЕГАИС (без CheckMark2), МЕГАМАРКЕТ для баз данных на Microsoft SQL Server  на 1 (один) год</v>
      </c>
      <c r="F742" s="5">
        <f ca="1">IFERROR(__xludf.DUMMYFUNCTION("""COMPUTED_VALUE"""),5170)</f>
        <v>5170</v>
      </c>
    </row>
    <row r="743" spans="1:6" ht="72" customHeight="1" x14ac:dyDescent="0.2">
      <c r="A743" s="4" t="str">
        <f ca="1">IFERROR(__xludf.DUMMYFUNCTION("""COMPUTED_VALUE"""),"баз данных на Microsoft SQL Server")</f>
        <v>баз данных на Microsoft SQL Server</v>
      </c>
      <c r="B743" s="4" t="str">
        <f ca="1">IFERROR(__xludf.DUMMYFUNCTION("""COMPUTED_VALUE"""),"с МОТП, БАЗОВЫЙ")</f>
        <v>с МОТП, БАЗОВЫЙ</v>
      </c>
      <c r="C743" s="4" t="str">
        <f ca="1">IFERROR(__xludf.DUMMYFUNCTION("""COMPUTED_VALUE"""),"SSY1-RTL15AT-MSSQL")</f>
        <v>SSY1-RTL15AT-MSSQL</v>
      </c>
      <c r="D743" s="4" t="str">
        <f ca="1">IFERROR(__xludf.DUMMYFUNCTION("""COMPUTED_VALUE"""),"Продление подписки на обновления Mobile SMARTS: Магазин 15 с МОТП, БАЗОВЫЙ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выбо"&amp;"р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штрихко"&amp;"дов,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БАЗОВЫЙ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43" s="4" t="str">
        <f ca="1">IFERROR(__xludf.DUMMYFUNCTION("""COMPUTED_VALUE"""),"Продление подписки на обновления Mobile SMARTS: Магазин 15 с МОТП, БАЗОВЫЙ для баз данных на Microsoft SQL Server  на 1 (один) год")</f>
        <v>Продление подписки на обновления Mobile SMARTS: Магазин 15 с МОТП, БАЗОВЫЙ для баз данных на Microsoft SQL Server  на 1 (один) год</v>
      </c>
      <c r="F743" s="5">
        <f ca="1">IFERROR(__xludf.DUMMYFUNCTION("""COMPUTED_VALUE"""),2630)</f>
        <v>2630</v>
      </c>
    </row>
    <row r="744" spans="1:6" ht="72" customHeight="1" x14ac:dyDescent="0.2">
      <c r="A744" s="4" t="str">
        <f ca="1">IFERROR(__xludf.DUMMYFUNCTION("""COMPUTED_VALUE"""),"баз данных на Microsoft SQL Server")</f>
        <v>баз данных на Microsoft SQL Server</v>
      </c>
      <c r="B744" s="4" t="str">
        <f ca="1">IFERROR(__xludf.DUMMYFUNCTION("""COMPUTED_VALUE"""),"с МОТП, РАСШИРЕННЫЙ")</f>
        <v>с МОТП, РАСШИРЕННЫЙ</v>
      </c>
      <c r="C744" s="4" t="str">
        <f ca="1">IFERROR(__xludf.DUMMYFUNCTION("""COMPUTED_VALUE"""),"SSY1-RTL15BT-MSSQL")</f>
        <v>SSY1-RTL15BT-MSSQL</v>
      </c>
      <c r="D744" s="4" t="str">
        <f ca="1">IFERROR(__xludf.DUMMYFUNCTION("""COMPUTED_VALUE"""),"Продление подписки на обновления Mobile SMARTS: Магазин 15 с МОТП, РАСШИРЕННЫЙ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"&amp;"выбор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штр"&amp;"ихкодов,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МОТП, РАСШИРЕННЫЙ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44" s="4" t="str">
        <f ca="1">IFERROR(__xludf.DUMMYFUNCTION("""COMPUTED_VALUE"""),"Продление подписки на обновления Mobile SMARTS: Магазин 15 с МОТП, РАСШИРЕННЫЙ для баз данных на Microsoft SQL Server  на 1 (один) год")</f>
        <v>Продление подписки на обновления Mobile SMARTS: Магазин 15 с МОТП, РАСШИРЕННЫЙ для баз данных на Microsoft SQL Server  на 1 (один) год</v>
      </c>
      <c r="F744" s="5">
        <f ca="1">IFERROR(__xludf.DUMMYFUNCTION("""COMPUTED_VALUE"""),3890)</f>
        <v>3890</v>
      </c>
    </row>
    <row r="745" spans="1:6" ht="72" customHeight="1" x14ac:dyDescent="0.2">
      <c r="A745" s="4" t="str">
        <f ca="1">IFERROR(__xludf.DUMMYFUNCTION("""COMPUTED_VALUE"""),"баз данных на Microsoft SQL Server")</f>
        <v>баз данных на Microsoft SQL Server</v>
      </c>
      <c r="B745" s="4" t="str">
        <f ca="1">IFERROR(__xludf.DUMMYFUNCTION("""COMPUTED_VALUE"""),"с МОТП, МЕГАМАРКЕТ")</f>
        <v>с МОТП, МЕГАМАРКЕТ</v>
      </c>
      <c r="C745" s="4" t="str">
        <f ca="1">IFERROR(__xludf.DUMMYFUNCTION("""COMPUTED_VALUE"""),"SSY1-RTL15CT-MSSQL")</f>
        <v>SSY1-RTL15CT-MSSQL</v>
      </c>
      <c r="D745" s="4" t="str">
        <f ca="1">IFERROR(__xludf.DUMMYFUNCTION("""COMPUTED_VALUE"""),"Продление подписки на обновления Mobile SMARTS: Магазин 15 с МОТП, МЕГАМАРКЕТ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в"&amp;"ыбор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штри"&amp;"хкодов,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1"&amp;" (один) год")</f>
        <v>Продление подписки на обновления Mobile SMARTS: Магазин 15 с МОТП, МЕГАМАРКЕТ для баз данных на Microsoft SQL Server / для самостоятельной разработки и интеграции обмена с учетной системой, для работы с маркированным ТАБАКОМ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45" s="4" t="str">
        <f ca="1">IFERROR(__xludf.DUMMYFUNCTION("""COMPUTED_VALUE"""),"Продление подписки на обновления Mobile SMARTS: Магазин 15 с МОТП, МЕГАМАРКЕТ для баз данных на Microsoft SQL Server  на 1 (один) год")</f>
        <v>Продление подписки на обновления Mobile SMARTS: Магазин 15 с МОТП, МЕГАМАРКЕТ для баз данных на Microsoft SQL Server  на 1 (один) год</v>
      </c>
      <c r="F745" s="5">
        <f ca="1">IFERROR(__xludf.DUMMYFUNCTION("""COMPUTED_VALUE"""),5170)</f>
        <v>5170</v>
      </c>
    </row>
    <row r="746" spans="1:6" ht="72" customHeight="1" x14ac:dyDescent="0.2">
      <c r="A746" s="4" t="str">
        <f ca="1">IFERROR(__xludf.DUMMYFUNCTION("""COMPUTED_VALUE"""),"баз данных на Microsoft SQL Server")</f>
        <v>баз данных на Microsoft SQL Server</v>
      </c>
      <c r="B746" s="4" t="str">
        <f ca="1">IFERROR(__xludf.DUMMYFUNCTION("""COMPUTED_VALUE"""),"с ЕГАИС и МОТП, БАЗОВЫЙ")</f>
        <v>с ЕГАИС и МОТП, БАЗОВЫЙ</v>
      </c>
      <c r="C746" s="4" t="str">
        <f ca="1">IFERROR(__xludf.DUMMYFUNCTION("""COMPUTED_VALUE"""),"SSY1-RTL15AET-MSSQL")</f>
        <v>SSY1-RTL15AET-MSSQL</v>
      </c>
      <c r="D746" s="4" t="str">
        <f ca="1">IFERROR(__xludf.DUMMYFUNCTION("""COMPUTED_VALUE"""),"Продление подписки на обновления Mobile SMARTS: Магазин 15 с ЕГАИС и МОТП, БАЗОВЫЙ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"&amp;"и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"&amp;"мобильный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складах"&amp;",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БАЗОВЫЙ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46" s="4" t="str">
        <f ca="1">IFERROR(__xludf.DUMMYFUNCTION("""COMPUTED_VALUE"""),"Продление подписки на обновления Mobile SMARTS: Магазин 15 с ЕГАИС и МОТП, БАЗОВЫЙ для баз данных на Microsoft SQL Server  на 1 (один) год")</f>
        <v>Продление подписки на обновления Mobile SMARTS: Магазин 15 с ЕГАИС и МОТП, БАЗОВЫЙ для баз данных на Microsoft SQL Server  на 1 (один) год</v>
      </c>
      <c r="F746" s="5">
        <f ca="1">IFERROR(__xludf.DUMMYFUNCTION("""COMPUTED_VALUE"""),2830)</f>
        <v>2830</v>
      </c>
    </row>
    <row r="747" spans="1:6" ht="72" customHeight="1" x14ac:dyDescent="0.2">
      <c r="A747" s="4" t="str">
        <f ca="1">IFERROR(__xludf.DUMMYFUNCTION("""COMPUTED_VALUE"""),"баз данных на Microsoft SQL Server")</f>
        <v>баз данных на Microsoft SQL Server</v>
      </c>
      <c r="B747" s="4" t="str">
        <f ca="1">IFERROR(__xludf.DUMMYFUNCTION("""COMPUTED_VALUE"""),"с ЕГАИС и МОТП, РАСШИРЕННЫЙ")</f>
        <v>с ЕГАИС и МОТП, РАСШИРЕННЫЙ</v>
      </c>
      <c r="C747" s="4" t="str">
        <f ca="1">IFERROR(__xludf.DUMMYFUNCTION("""COMPUTED_VALUE"""),"SSY1-RTL15BET-MSSQL")</f>
        <v>SSY1-RTL15BET-MSSQL</v>
      </c>
      <c r="D747" s="4" t="str">
        <f ca="1">IFERROR(__xludf.DUMMYFUNCTION("""COMPUTED_VALUE"""),"Продление подписки на обновления Mobile SMARTS: Магазин 15 с ЕГАИС и МОТП,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ТАБА"&amp;"КОМ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печатью"&amp;"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скл"&amp;"адах,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РАСШИРЕННЫЙ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47" s="4" t="str">
        <f ca="1">IFERROR(__xludf.DUMMYFUNCTION("""COMPUTED_VALUE"""),"Продление подписки на обновления Mobile SMARTS: Магазин 15 с ЕГАИС и МОТП, РАСШИРЕННЫЙ для баз данных на Microsoft SQL Server  на 1 (один) год")</f>
        <v>Продление подписки на обновления Mobile SMARTS: Магазин 15 с ЕГАИС и МОТП, РАСШИРЕННЫЙ для баз данных на Microsoft SQL Server  на 1 (один) год</v>
      </c>
      <c r="F747" s="5">
        <f ca="1">IFERROR(__xludf.DUMMYFUNCTION("""COMPUTED_VALUE"""),4110)</f>
        <v>4110</v>
      </c>
    </row>
    <row r="748" spans="1:6" ht="72" customHeight="1" x14ac:dyDescent="0.2">
      <c r="A748" s="4" t="str">
        <f ca="1">IFERROR(__xludf.DUMMYFUNCTION("""COMPUTED_VALUE"""),"баз данных на Microsoft SQL Server")</f>
        <v>баз данных на Microsoft SQL Server</v>
      </c>
      <c r="B748" s="4" t="str">
        <f ca="1">IFERROR(__xludf.DUMMYFUNCTION("""COMPUTED_VALUE"""),"с ЕГАИС и МОТП, МЕГАМАРКЕТ")</f>
        <v>с ЕГАИС и МОТП, МЕГАМАРКЕТ</v>
      </c>
      <c r="C748" s="4" t="str">
        <f ca="1">IFERROR(__xludf.DUMMYFUNCTION("""COMPUTED_VALUE"""),"SSY1-RTL15CET-MSSQL")</f>
        <v>SSY1-RTL15CET-MSSQL</v>
      </c>
      <c r="D748" s="4" t="str">
        <f ca="1">IFERROR(__xludf.DUMMYFUNCTION("""COMPUTED_VALUE"""),"Продление подписки на обновления Mobile SMARTS: Магазин 15 с ЕГАИС и МОТП, МЕГАМАРКЕТ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ТАБАК"&amp;"ОМ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"&amp;"на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инфо"&amp;"рмация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год")</f>
        <v>Продление подписки на обновления Mobile SMARTS: Магазин 15 с ЕГАИС и МОТП, МЕГАМАРКЕТ для баз данных на Microsoft SQL Server / для самостоятельной разработки и интеграции обмена с учетной системой, для работы с маркированным АЛКОГОЛЕМ, маркированным ТАБАКОМ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48" s="4" t="str">
        <f ca="1">IFERROR(__xludf.DUMMYFUNCTION("""COMPUTED_VALUE"""),"Продление подписки на обновления Mobile SMARTS: Магазин 15 с ЕГАИС и МОТП, МЕГАМАРКЕТ для баз данных на Microsoft SQL Server  на 1 (один) год")</f>
        <v>Продление подписки на обновления Mobile SMARTS: Магазин 15 с ЕГАИС и МОТП, МЕГАМАРКЕТ для баз данных на Microsoft SQL Server  на 1 (один) год</v>
      </c>
      <c r="F748" s="5">
        <f ca="1">IFERROR(__xludf.DUMMYFUNCTION("""COMPUTED_VALUE"""),5670)</f>
        <v>5670</v>
      </c>
    </row>
    <row r="749" spans="1:6" ht="72" customHeight="1" x14ac:dyDescent="0.2">
      <c r="A749" s="4" t="str">
        <f ca="1">IFERROR(__xludf.DUMMYFUNCTION("""COMPUTED_VALUE"""),"баз данных на Microsoft SQL Server")</f>
        <v>баз данных на Microsoft SQL Server</v>
      </c>
      <c r="B749" s="4" t="str">
        <f ca="1">IFERROR(__xludf.DUMMYFUNCTION("""COMPUTED_VALUE"""),"ШМОТКИ, БАЗОВЫЙ")</f>
        <v>ШМОТКИ, БАЗОВЫЙ</v>
      </c>
      <c r="C749" s="4" t="str">
        <f ca="1">IFERROR(__xludf.DUMMYFUNCTION("""COMPUTED_VALUE"""),"SSY1-RTL15AK-MSSQL")</f>
        <v>SSY1-RTL15AK-MSSQL</v>
      </c>
      <c r="D749" s="4" t="str">
        <f ca="1">IFERROR(__xludf.DUMMYFUNCTION("""COMPUTED_VALUE"""),"Продление подписки на обновления Mobile SMARTS: Магазин 15 с КИРОВКОЙ, БАЗОВЫЙ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т"&amp;"оваром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"&amp;"КМ),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устройств"&amp;"о на 1 (один) год")</f>
        <v>Продление подписки на обновления Mobile SMARTS: Магазин 15 с КИРОВКОЙ, БАЗОВЫЙ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49" s="4" t="str">
        <f ca="1">IFERROR(__xludf.DUMMYFUNCTION("""COMPUTED_VALUE"""),"Продление подписки на обновления Mobile SMARTS: Магазин 15 с КИРОВКОЙ, БАЗОВЫЙ для баз данных на Microsoft SQL Server  на 1 (один) год")</f>
        <v>Продление подписки на обновления Mobile SMARTS: Магазин 15 с КИРОВКОЙ, БАЗОВЫЙ для баз данных на Microsoft SQL Server  на 1 (один) год</v>
      </c>
      <c r="F749" s="5">
        <f ca="1">IFERROR(__xludf.DUMMYFUNCTION("""COMPUTED_VALUE"""),2830)</f>
        <v>2830</v>
      </c>
    </row>
    <row r="750" spans="1:6" ht="72" customHeight="1" x14ac:dyDescent="0.2">
      <c r="A750" s="4" t="str">
        <f ca="1">IFERROR(__xludf.DUMMYFUNCTION("""COMPUTED_VALUE"""),"баз данных на Microsoft SQL Server")</f>
        <v>баз данных на Microsoft SQL Server</v>
      </c>
      <c r="B750" s="4" t="str">
        <f ca="1">IFERROR(__xludf.DUMMYFUNCTION("""COMPUTED_VALUE"""),"ШМОТКИ, РАСШИРЕННЫЙ")</f>
        <v>ШМОТКИ, РАСШИРЕННЫЙ</v>
      </c>
      <c r="C750" s="4" t="str">
        <f ca="1">IFERROR(__xludf.DUMMYFUNCTION("""COMPUTED_VALUE"""),"SSY1-RTL15BK-MSSQL")</f>
        <v>SSY1-RTL15BK-MSSQL</v>
      </c>
      <c r="D750" s="4" t="str">
        <f ca="1">IFERROR(__xludf.DUMMYFUNCTION("""COMPUTED_VALUE"""),"Продление подписки на обновления Mobile SMARTS: Магазин 15 с КИРОВКОЙ, РАСШИРЕННЫЙ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ШИНАМИ"&amp;"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отгрузка"&amp;"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устро"&amp;"йство на 1 (один) год")</f>
        <v>Продление подписки на обновления Mobile SMARTS: Магазин 15 с КИРОВКОЙ, РАСШИРЕННЫЙ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50" s="4" t="str">
        <f ca="1">IFERROR(__xludf.DUMMYFUNCTION("""COMPUTED_VALUE"""),"Продление подписки на обновления Mobile SMARTS: Магазин 15 с КИРОВКОЙ, РАСШИРЕННЫЙ для баз данных на Microsoft SQL Server  на 1 (один) год")</f>
        <v>Продление подписки на обновления Mobile SMARTS: Магазин 15 с КИРОВКОЙ, РАСШИРЕННЫЙ для баз данных на Microsoft SQL Server  на 1 (один) год</v>
      </c>
      <c r="F750" s="5">
        <f ca="1">IFERROR(__xludf.DUMMYFUNCTION("""COMPUTED_VALUE"""),4110)</f>
        <v>4110</v>
      </c>
    </row>
    <row r="751" spans="1:6" ht="72" customHeight="1" x14ac:dyDescent="0.2">
      <c r="A751" s="4" t="str">
        <f ca="1">IFERROR(__xludf.DUMMYFUNCTION("""COMPUTED_VALUE"""),"баз данных на Microsoft SQL Server")</f>
        <v>баз данных на Microsoft SQL Server</v>
      </c>
      <c r="B751" s="4" t="str">
        <f ca="1">IFERROR(__xludf.DUMMYFUNCTION("""COMPUTED_VALUE"""),"ШМОТКИ, МЕГАМАРКЕТ")</f>
        <v>ШМОТКИ, МЕГАМАРКЕТ</v>
      </c>
      <c r="C751" s="4" t="str">
        <f ca="1">IFERROR(__xludf.DUMMYFUNCTION("""COMPUTED_VALUE"""),"SSY1-RTL15CK-MSSQL")</f>
        <v>SSY1-RTL15CK-MSSQL</v>
      </c>
      <c r="D751" s="4" t="str">
        <f ca="1">IFERROR(__xludf.DUMMYFUNCTION("""COMPUTED_VALUE"""),"Продление подписки на обновления Mobile SMARTS: Магазин 15 с КИРОВКОЙ, МЕГАМАРКЕТ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"&amp;"и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"&amp;"по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на"&amp;" 1 (одно) моб. устройство на 1 (один) год")</f>
        <v>Продление подписки на обновления Mobile SMARTS: Магазин 15 с КИРОВКОЙ, МЕГАМАРКЕТ для баз данных на Microsoft SQL Server / для самостоятельной разработки и интеграции обмена с учетной системой, для работы с маркированной ОБУВЬЮ, ОДЕЖДОЙ, ПАРФЮМОМ, ШИНАМИ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51" s="4" t="str">
        <f ca="1">IFERROR(__xludf.DUMMYFUNCTION("""COMPUTED_VALUE"""),"Продление подписки на обновления Mobile SMARTS: Магазин 15 с КИРОВКОЙ, МЕГАМАРКЕТ для баз данных на Microsoft SQL Server  на 1 (один) год")</f>
        <v>Продление подписки на обновления Mobile SMARTS: Магазин 15 с КИРОВКОЙ, МЕГАМАРКЕТ для баз данных на Microsoft SQL Server  на 1 (один) год</v>
      </c>
      <c r="F751" s="5">
        <f ca="1">IFERROR(__xludf.DUMMYFUNCTION("""COMPUTED_VALUE"""),5670)</f>
        <v>5670</v>
      </c>
    </row>
    <row r="752" spans="1:6" ht="72" customHeight="1" x14ac:dyDescent="0.2">
      <c r="A752" s="4" t="str">
        <f ca="1">IFERROR(__xludf.DUMMYFUNCTION("""COMPUTED_VALUE"""),"баз данных на Microsoft SQL Server")</f>
        <v>баз данных на Microsoft SQL Server</v>
      </c>
      <c r="B752" s="4" t="str">
        <f ca="1">IFERROR(__xludf.DUMMYFUNCTION("""COMPUTED_VALUE"""),"с МДЛП, БАЗОВЫЙ")</f>
        <v>с МДЛП, БАЗОВЫЙ</v>
      </c>
      <c r="C752" s="4" t="str">
        <f ca="1">IFERROR(__xludf.DUMMYFUNCTION("""COMPUTED_VALUE"""),"SSY1-RTL15AL-MSSQL")</f>
        <v>SSY1-RTL15AL-MSSQL</v>
      </c>
      <c r="D752" s="4" t="str">
        <f ca="1">IFERROR(__xludf.DUMMYFUNCTION("""COMPUTED_VALUE"""),"Продление подписки на обновления Mobile SMARTS: Магазин 15 с МДЛП, БАЗОВЫЙ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штр"&amp;"ихкодам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перемеще"&amp;"ние,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(один)"&amp;" год")</f>
        <v>Продление подписки на обновления Mobile SMARTS: Магазин 15 с МДЛП, БАЗОВЫЙ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нет онлайна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52" s="4" t="str">
        <f ca="1">IFERROR(__xludf.DUMMYFUNCTION("""COMPUTED_VALUE"""),"Продление подписки на обновления Mobile SMARTS: Магазин 15 с МДЛП, БАЗОВЫЙ для баз данных на Microsoft SQL Server  на 1 (один) год")</f>
        <v>Продление подписки на обновления Mobile SMARTS: Магазин 15 с МДЛП, БАЗОВЫЙ для баз данных на Microsoft SQL Server  на 1 (один) год</v>
      </c>
      <c r="F752" s="5">
        <f ca="1">IFERROR(__xludf.DUMMYFUNCTION("""COMPUTED_VALUE"""),2091.6)</f>
        <v>2091.6</v>
      </c>
    </row>
    <row r="753" spans="1:6" ht="72" customHeight="1" x14ac:dyDescent="0.2">
      <c r="A753" s="4" t="str">
        <f ca="1">IFERROR(__xludf.DUMMYFUNCTION("""COMPUTED_VALUE"""),"баз данных на Microsoft SQL Server")</f>
        <v>баз данных на Microsoft SQL Server</v>
      </c>
      <c r="B753" s="4" t="str">
        <f ca="1">IFERROR(__xludf.DUMMYFUNCTION("""COMPUTED_VALUE"""),"с МДЛП, РАСШИРЕННЫЙ")</f>
        <v>с МДЛП, РАСШИРЕННЫЙ</v>
      </c>
      <c r="C753" s="4" t="str">
        <f ca="1">IFERROR(__xludf.DUMMYFUNCTION("""COMPUTED_VALUE"""),"SSY1-RTL15BL-MSSQL")</f>
        <v>SSY1-RTL15BL-MSSQL</v>
      </c>
      <c r="D753" s="4" t="str">
        <f ca="1">IFERROR(__xludf.DUMMYFUNCTION("""COMPUTED_VALUE"""),"Продление подписки на обновления Mobile SMARTS: Магазин 15 с МДЛП, РАСШИРЕННЫЙ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по"&amp;"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пере"&amp;"мещение,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(о"&amp;"дин) год")</f>
        <v>Продление подписки на обновления Mobile SMARTS: Магазин 15 с МДЛП, РАСШИРЕННЫЙ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53" s="4" t="str">
        <f ca="1">IFERROR(__xludf.DUMMYFUNCTION("""COMPUTED_VALUE"""),"Продление подписки на обновления Mobile SMARTS: Магазин 15 с МДЛП, РАСШИРЕННЫЙ для баз данных на Microsoft SQL Server  на 1 (один) год")</f>
        <v>Продление подписки на обновления Mobile SMARTS: Магазин 15 с МДЛП, РАСШИРЕННЫЙ для баз данных на Microsoft SQL Server  на 1 (один) год</v>
      </c>
      <c r="F753" s="5">
        <f ca="1">IFERROR(__xludf.DUMMYFUNCTION("""COMPUTED_VALUE"""),3075.6)</f>
        <v>3075.6</v>
      </c>
    </row>
    <row r="754" spans="1:6" ht="72" customHeight="1" x14ac:dyDescent="0.2">
      <c r="A754" s="4" t="str">
        <f ca="1">IFERROR(__xludf.DUMMYFUNCTION("""COMPUTED_VALUE"""),"баз данных на Microsoft SQL Server")</f>
        <v>баз данных на Microsoft SQL Server</v>
      </c>
      <c r="B754" s="4" t="str">
        <f ca="1">IFERROR(__xludf.DUMMYFUNCTION("""COMPUTED_VALUE"""),"с МДЛП, МЕГАМАРКЕТ")</f>
        <v>с МДЛП, МЕГАМАРКЕТ</v>
      </c>
      <c r="C754" s="4" t="str">
        <f ca="1">IFERROR(__xludf.DUMMYFUNCTION("""COMPUTED_VALUE"""),"SSY1-RTL15CL-MSSQL")</f>
        <v>SSY1-RTL15CL-MSSQL</v>
      </c>
      <c r="D754" s="4" t="str">
        <f ca="1">IFERROR(__xludf.DUMMYFUNCTION("""COMPUTED_VALUE"""),"Продление подписки на обновления Mobile SMARTS: Магазин 15 с МДЛП, МЕГАМАРКЕТ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"&amp;"штрихкодам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перем"&amp;"ещение,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моб"&amp;". устройство на 1 (один) год")</f>
        <v>Продление подписки на обновления Mobile SMARTS: Магазин 15 с МДЛП, МЕГАМАРКЕТ для баз данных на Microsoft SQL Server / для самостоятельной разработки и интеграции обмена с учетной системой, для работы с маркированным товаром: ЛЕКАРСТВА, ВОДА и товаром по штрихкодам / на выбор проводной или беспроводной обмен / есть ОНЛАЙН / доступные операции: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 на 1 (одно) моб. устройство на 1 (один) год</v>
      </c>
      <c r="E754" s="4" t="str">
        <f ca="1">IFERROR(__xludf.DUMMYFUNCTION("""COMPUTED_VALUE"""),"Продление подписки на обновления Mobile SMARTS: Магазин 15 с МДЛП, МЕГАМАРКЕТ для баз данных на Microsoft SQL Server  на 1 (один) год")</f>
        <v>Продление подписки на обновления Mobile SMARTS: Магазин 15 с МДЛП, МЕГАМАРКЕТ для баз данных на Microsoft SQL Server  на 1 (один) год</v>
      </c>
      <c r="F754" s="5">
        <f ca="1">IFERROR(__xludf.DUMMYFUNCTION("""COMPUTED_VALUE"""),4539.6)</f>
        <v>4539.6000000000004</v>
      </c>
    </row>
    <row r="755" spans="1:6" ht="72" customHeight="1" x14ac:dyDescent="0.2">
      <c r="A755" s="4" t="str">
        <f ca="1">IFERROR(__xludf.DUMMYFUNCTION("""COMPUTED_VALUE"""),"баз данных на Microsoft SQL Server")</f>
        <v>баз данных на Microsoft SQL Server</v>
      </c>
      <c r="B755" s="4" t="str">
        <f ca="1">IFERROR(__xludf.DUMMYFUNCTION("""COMPUTED_VALUE"""),"ПРОДУКТОВЫЙ, БАЗОВЫЙ")</f>
        <v>ПРОДУКТОВЫЙ, БАЗОВЫЙ</v>
      </c>
      <c r="C755" s="4" t="str">
        <f ca="1">IFERROR(__xludf.DUMMYFUNCTION("""COMPUTED_VALUE"""),"SSY1-RTL15AG-MSSQL")</f>
        <v>SSY1-RTL15AG-MSSQL</v>
      </c>
      <c r="D755" s="4" t="str">
        <f ca="1">IFERROR(__xludf.DUMMYFUNCTION("""COMPUTED_VALUE"""),"Продление подписки на обновления Mobile SMARTS: Магазин 15 ПРОДУКТОВЫЙ, БАЗОВЫЙ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МОЛО"&amp;"КО,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инвентариз"&amp;"ация,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воз"&amp;"можности: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БАЗОВЫЙ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нет онлайна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55" s="4" t="str">
        <f ca="1">IFERROR(__xludf.DUMMYFUNCTION("""COMPUTED_VALUE"""),"Продление подписки на обновления Mobile SMARTS: Магазин 15 ПРОДУКТОВЫЙ, БАЗОВЫЙ для баз данных на Microsoft SQL Server  на 1 (один) год")</f>
        <v>Продление подписки на обновления Mobile SMARTS: Магазин 15 ПРОДУКТОВЫЙ, БАЗОВЫЙ для баз данных на Microsoft SQL Server  на 1 (один) год</v>
      </c>
      <c r="F755" s="5">
        <f ca="1">IFERROR(__xludf.DUMMYFUNCTION("""COMPUTED_VALUE"""),2631.6)</f>
        <v>2631.6</v>
      </c>
    </row>
    <row r="756" spans="1:6" ht="72" customHeight="1" x14ac:dyDescent="0.2">
      <c r="A756" s="4" t="str">
        <f ca="1">IFERROR(__xludf.DUMMYFUNCTION("""COMPUTED_VALUE"""),"баз данных на Microsoft SQL Server")</f>
        <v>баз данных на Microsoft SQL Server</v>
      </c>
      <c r="B756" s="4" t="str">
        <f ca="1">IFERROR(__xludf.DUMMYFUNCTION("""COMPUTED_VALUE"""),"ПРОДУКТОВЫЙ, РАСШИРЕННЫЙ")</f>
        <v>ПРОДУКТОВЫЙ, РАСШИРЕННЫЙ</v>
      </c>
      <c r="C756" s="4" t="str">
        <f ca="1">IFERROR(__xludf.DUMMYFUNCTION("""COMPUTED_VALUE"""),"SSY1-RTL15BG-MSSQL")</f>
        <v>SSY1-RTL15BG-MSSQL</v>
      </c>
      <c r="D756" s="4" t="str">
        <f ca="1">IFERROR(__xludf.DUMMYFUNCTION("""COMPUTED_VALUE"""),"Продление подписки на обновления Mobile SMARTS: Магазин 15 ПРОДУКТОВЫЙ, РАСШИРЕННЫЙ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"&amp;"МОЛОКО,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инвент"&amp;"аризация,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/"&amp;"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РАСШИРЕННЫЙ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56" s="4" t="str">
        <f ca="1">IFERROR(__xludf.DUMMYFUNCTION("""COMPUTED_VALUE"""),"Продление подписки на обновления Mobile SMARTS: Магазин 15 ПРОДУКТОВЫЙ, РАСШИРЕННЫЙ для баз данных на Microsoft SQL Server  на 1 (один) год")</f>
        <v>Продление подписки на обновления Mobile SMARTS: Магазин 15 ПРОДУКТОВЫЙ, РАСШИРЕННЫЙ для баз данных на Microsoft SQL Server  на 1 (один) год</v>
      </c>
      <c r="F756" s="5">
        <f ca="1">IFERROR(__xludf.DUMMYFUNCTION("""COMPUTED_VALUE"""),3615.6)</f>
        <v>3615.6</v>
      </c>
    </row>
    <row r="757" spans="1:6" ht="72" customHeight="1" x14ac:dyDescent="0.2">
      <c r="A757" s="4" t="str">
        <f ca="1">IFERROR(__xludf.DUMMYFUNCTION("""COMPUTED_VALUE"""),"баз данных на Microsoft SQL Server")</f>
        <v>баз данных на Microsoft SQL Server</v>
      </c>
      <c r="B757" s="4" t="str">
        <f ca="1">IFERROR(__xludf.DUMMYFUNCTION("""COMPUTED_VALUE"""),"ПРОДУКТОВЫЙ, МЕГАМАРКЕТ")</f>
        <v>ПРОДУКТОВЫЙ, МЕГАМАРКЕТ</v>
      </c>
      <c r="C757" s="4" t="str">
        <f ca="1">IFERROR(__xludf.DUMMYFUNCTION("""COMPUTED_VALUE"""),"SSY1-RTL15CG-MSSQL")</f>
        <v>SSY1-RTL15CG-MSSQL</v>
      </c>
      <c r="D757" s="4" t="str">
        <f ca="1">IFERROR(__xludf.DUMMYFUNCTION("""COMPUTED_VALUE"""),"Продление подписки на обновления Mobile SMARTS: Магазин 15 ПРОДУКТОВЫЙ, МЕГАМАРКЕТ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М"&amp;"ОЛОКО,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инвента"&amp;"ризация,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"&amp;"возможности: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год")</f>
        <v>Продление подписки на обновления Mobile SMARTS: Магазин 15 ПРОДУКТОВЫЙ, МЕГАМАРКЕТ для баз данных на Microsoft SQL Server / для самостоятельной разработки и интеграции обмена с учетной системой, для работы с маркированным товаром: АЛКОГОЛЬ, ПИВО, ТАБАК, МОЛОКО, ВОДА, ОДЕЖДА, ОБУВЬ, ПАРФЮМ, ШИНЫ и товаром по штрихкодам / на выбор проводной или беспроводной обмен / есть ОНЛАЙН / доступные операции: сбор алкоголя, приемка алкоголя, возврат алкоголя, списание алкоголя, поступление (в т.ч. приемка КМ), инвентаризация, переоценка (в т.ч. с печатью на мобильный принтер), списание, возврат, подбор заказа (в т.ч. отгрузка по КМ), перемещение, сбор штрихкодов, маркировка остатков (в т.ч. печать этикеток с марками GS1 DataMatrix), просмотр справочников, настройки / возможности: коллективная работа, информация о товаре, складах, контрагентах, остатках и ценах на экране / изменение существующих операций / возможность добавлять свои операции / лицензия на 1 (одно) моб. устройство, на 1 (один) год</v>
      </c>
      <c r="E757" s="4" t="str">
        <f ca="1">IFERROR(__xludf.DUMMYFUNCTION("""COMPUTED_VALUE"""),"Продление подписки на обновления Mobile SMARTS: Магазин 15 ПРОДУКТОВЫЙ, МЕГАМАРКЕТ для баз данных на Microsoft SQL Server  на 1 (один) год")</f>
        <v>Продление подписки на обновления Mobile SMARTS: Магазин 15 ПРОДУКТОВЫЙ, МЕГАМАРКЕТ для баз данных на Microsoft SQL Server  на 1 (один) год</v>
      </c>
      <c r="F757" s="5">
        <f ca="1">IFERROR(__xludf.DUMMYFUNCTION("""COMPUTED_VALUE"""),6033.8)</f>
        <v>6033.8</v>
      </c>
    </row>
    <row r="758" spans="1:6" ht="72" customHeight="1" x14ac:dyDescent="0.2">
      <c r="A758" s="4" t="str">
        <f ca="1">IFERROR(__xludf.DUMMYFUNCTION("""COMPUTED_VALUE"""),"Frontol Simple")</f>
        <v>Frontol Simple</v>
      </c>
      <c r="B758" s="4" t="str">
        <f ca="1">IFERROR(__xludf.DUMMYFUNCTION("""COMPUTED_VALUE"""),"МИНИМУМ")</f>
        <v>МИНИМУМ</v>
      </c>
      <c r="C758" s="4" t="str">
        <f ca="1">IFERROR(__xludf.DUMMYFUNCTION("""COMPUTED_VALUE"""),"SSY1-RTL15M-SMPL")</f>
        <v>SSY1-RTL15M-SMPL</v>
      </c>
      <c r="D758" s="4" t="str">
        <f ca="1">IFERROR(__xludf.DUMMYFUNCTION("""COMPUTED_VALUE"""),"Продление подписки на обновления Mobile SMARTS: Магазин 15, МИНИМУМ для Frontol Simple / только беспроводной обмен / доступные операции: приходная накладная, инвентаризация / возможности: нельзя изменять существующие операции, нельзя добавлять свои операц"&amp;"ии /  на 1 (одно) моб. устройство на 1 (один) год")</f>
        <v>Продление подписки на обновления Mobile SMARTS: Магазин 15, МИНИМУМ для Frontol Simple / только беспроводной обмен / доступные операции: приходная накладная, инвентаризация / возможности: нельзя изменять существующие операции, нельзя добавлять свои операции /  на 1 (одно) моб. устройство на 1 (один) год</v>
      </c>
      <c r="E758" s="4" t="str">
        <f ca="1">IFERROR(__xludf.DUMMYFUNCTION("""COMPUTED_VALUE"""),"Продление подписки на обновления Mobile SMARTS: Магазин 15, МИНИМУМ для Frontol Simple  на 1 (один) год")</f>
        <v>Продление подписки на обновления Mobile SMARTS: Магазин 15, МИНИМУМ для Frontol Simple  на 1 (один) год</v>
      </c>
      <c r="F758" s="5">
        <f ca="1">IFERROR(__xludf.DUMMYFUNCTION("""COMPUTED_VALUE"""),229.8)</f>
        <v>229.8</v>
      </c>
    </row>
    <row r="759" spans="1:6" ht="72" customHeight="1" x14ac:dyDescent="0.2">
      <c r="A759" s="4"/>
      <c r="B759" s="4"/>
      <c r="C759" s="4"/>
      <c r="D759" s="4"/>
      <c r="E759" s="4"/>
      <c r="F759" s="4"/>
    </row>
    <row r="760" spans="1:6" ht="72" customHeight="1" x14ac:dyDescent="0.2">
      <c r="A760" s="4"/>
      <c r="B760" s="4"/>
      <c r="C760" s="4"/>
      <c r="D760" s="4"/>
      <c r="E760" s="4"/>
      <c r="F760" s="4"/>
    </row>
    <row r="761" spans="1:6" ht="72" customHeight="1" x14ac:dyDescent="0.2">
      <c r="A761" s="4"/>
      <c r="B761" s="4"/>
      <c r="C761" s="4"/>
      <c r="D761" s="4"/>
      <c r="E761" s="4"/>
      <c r="F761" s="4"/>
    </row>
    <row r="762" spans="1:6" ht="72" customHeight="1" x14ac:dyDescent="0.2">
      <c r="A762" s="4"/>
      <c r="B762" s="4"/>
      <c r="C762" s="4"/>
      <c r="D762" s="4"/>
      <c r="E762" s="4"/>
      <c r="F762" s="4"/>
    </row>
    <row r="763" spans="1:6" ht="72" customHeight="1" x14ac:dyDescent="0.2">
      <c r="A763" s="4"/>
      <c r="B763" s="4"/>
      <c r="C763" s="4"/>
      <c r="D763" s="4"/>
      <c r="E763" s="4"/>
      <c r="F763" s="4"/>
    </row>
    <row r="764" spans="1:6" ht="72" customHeight="1" x14ac:dyDescent="0.2">
      <c r="A764" s="4"/>
      <c r="B764" s="4"/>
      <c r="C764" s="4"/>
      <c r="D764" s="4"/>
      <c r="E764" s="4"/>
      <c r="F764" s="4"/>
    </row>
    <row r="765" spans="1:6" ht="72" customHeight="1" x14ac:dyDescent="0.2">
      <c r="A765" s="4"/>
      <c r="B765" s="4"/>
      <c r="C765" s="4"/>
      <c r="D765" s="4"/>
      <c r="E765" s="4"/>
      <c r="F765" s="4"/>
    </row>
    <row r="766" spans="1:6" ht="72" customHeight="1" x14ac:dyDescent="0.2">
      <c r="A766" s="4"/>
      <c r="B766" s="4"/>
      <c r="C766" s="4"/>
      <c r="D766" s="4"/>
      <c r="E766" s="4"/>
      <c r="F766" s="4"/>
    </row>
    <row r="767" spans="1:6" ht="72" customHeight="1" x14ac:dyDescent="0.2">
      <c r="A767" s="4"/>
      <c r="B767" s="4"/>
      <c r="C767" s="4"/>
      <c r="D767" s="4"/>
      <c r="E767" s="4"/>
      <c r="F767" s="4"/>
    </row>
    <row r="768" spans="1:6" ht="72" customHeight="1" x14ac:dyDescent="0.2">
      <c r="A768" s="4"/>
      <c r="B768" s="4"/>
      <c r="C768" s="4"/>
      <c r="D768" s="4"/>
      <c r="E768" s="4"/>
      <c r="F768" s="4"/>
    </row>
    <row r="769" spans="1:6" ht="72" customHeight="1" x14ac:dyDescent="0.2">
      <c r="A769" s="4"/>
      <c r="B769" s="4"/>
      <c r="C769" s="4"/>
      <c r="D769" s="4"/>
      <c r="E769" s="4"/>
      <c r="F769" s="4"/>
    </row>
    <row r="770" spans="1:6" ht="72" customHeight="1" x14ac:dyDescent="0.2">
      <c r="A770" s="4"/>
      <c r="B770" s="4"/>
      <c r="C770" s="4"/>
      <c r="D770" s="4"/>
      <c r="E770" s="4"/>
      <c r="F770" s="4"/>
    </row>
    <row r="771" spans="1:6" ht="72" customHeight="1" x14ac:dyDescent="0.2">
      <c r="A771" s="4"/>
      <c r="B771" s="4"/>
      <c r="C771" s="4"/>
      <c r="D771" s="4"/>
      <c r="E771" s="4"/>
      <c r="F771" s="4"/>
    </row>
    <row r="772" spans="1:6" ht="72" customHeight="1" x14ac:dyDescent="0.2">
      <c r="A772" s="4"/>
      <c r="B772" s="4"/>
      <c r="C772" s="4"/>
      <c r="D772" s="4"/>
      <c r="E772" s="4"/>
      <c r="F772" s="4"/>
    </row>
    <row r="773" spans="1:6" ht="72" customHeight="1" x14ac:dyDescent="0.2">
      <c r="A773" s="4"/>
      <c r="B773" s="4"/>
      <c r="C773" s="4"/>
      <c r="D773" s="4"/>
      <c r="E773" s="4"/>
      <c r="F773" s="4"/>
    </row>
    <row r="774" spans="1:6" ht="72" customHeight="1" x14ac:dyDescent="0.2">
      <c r="A774" s="4"/>
      <c r="B774" s="4"/>
      <c r="C774" s="4"/>
      <c r="D774" s="4"/>
      <c r="E774" s="4"/>
      <c r="F774" s="4"/>
    </row>
    <row r="775" spans="1:6" ht="72" customHeight="1" x14ac:dyDescent="0.2">
      <c r="A775" s="4"/>
      <c r="B775" s="4"/>
      <c r="C775" s="4"/>
      <c r="D775" s="4"/>
      <c r="E775" s="4"/>
      <c r="F775" s="4"/>
    </row>
    <row r="776" spans="1:6" ht="72" customHeight="1" x14ac:dyDescent="0.2">
      <c r="A776" s="4"/>
      <c r="B776" s="4"/>
      <c r="C776" s="4"/>
      <c r="D776" s="4"/>
      <c r="E776" s="4"/>
      <c r="F776" s="4"/>
    </row>
    <row r="777" spans="1:6" ht="72" customHeight="1" x14ac:dyDescent="0.2">
      <c r="A777" s="4"/>
      <c r="B777" s="4"/>
      <c r="C777" s="4"/>
      <c r="D777" s="4"/>
      <c r="E777" s="4"/>
      <c r="F777" s="4"/>
    </row>
    <row r="778" spans="1:6" ht="72" customHeight="1" x14ac:dyDescent="0.2">
      <c r="A778" s="4"/>
      <c r="B778" s="4"/>
      <c r="C778" s="4"/>
      <c r="D778" s="4"/>
      <c r="E778" s="4"/>
      <c r="F778" s="4"/>
    </row>
    <row r="779" spans="1:6" ht="72" customHeight="1" x14ac:dyDescent="0.2">
      <c r="A779" s="4"/>
      <c r="B779" s="4"/>
      <c r="C779" s="4"/>
      <c r="D779" s="4"/>
      <c r="E779" s="4"/>
      <c r="F779" s="4"/>
    </row>
    <row r="780" spans="1:6" ht="72" customHeight="1" x14ac:dyDescent="0.2">
      <c r="A780" s="4"/>
      <c r="B780" s="4"/>
      <c r="C780" s="4"/>
      <c r="D780" s="4"/>
      <c r="E780" s="4"/>
      <c r="F780" s="4"/>
    </row>
    <row r="781" spans="1:6" ht="72" customHeight="1" x14ac:dyDescent="0.2">
      <c r="A781" s="4"/>
      <c r="B781" s="4"/>
      <c r="C781" s="4"/>
      <c r="D781" s="4"/>
      <c r="E781" s="4"/>
      <c r="F781" s="4"/>
    </row>
    <row r="782" spans="1:6" ht="72" customHeight="1" x14ac:dyDescent="0.2">
      <c r="A782" s="4"/>
      <c r="B782" s="4"/>
      <c r="C782" s="4"/>
      <c r="D782" s="4"/>
      <c r="E782" s="4"/>
      <c r="F782" s="4"/>
    </row>
    <row r="783" spans="1:6" ht="72" customHeight="1" x14ac:dyDescent="0.2">
      <c r="A783" s="4"/>
      <c r="B783" s="4"/>
      <c r="C783" s="4"/>
      <c r="D783" s="4"/>
      <c r="E783" s="4"/>
      <c r="F783" s="4"/>
    </row>
    <row r="784" spans="1:6" ht="72" customHeight="1" x14ac:dyDescent="0.2">
      <c r="A784" s="4"/>
      <c r="B784" s="4"/>
      <c r="C784" s="4"/>
      <c r="D784" s="4"/>
      <c r="E784" s="4"/>
      <c r="F784" s="4"/>
    </row>
    <row r="785" spans="1:6" ht="72" customHeight="1" x14ac:dyDescent="0.2">
      <c r="A785" s="4"/>
      <c r="B785" s="4"/>
      <c r="C785" s="4"/>
      <c r="D785" s="4"/>
      <c r="E785" s="4"/>
      <c r="F785" s="4"/>
    </row>
    <row r="786" spans="1:6" ht="72" customHeight="1" x14ac:dyDescent="0.2">
      <c r="A786" s="4"/>
      <c r="B786" s="4"/>
      <c r="C786" s="4"/>
      <c r="D786" s="4"/>
      <c r="E786" s="4"/>
      <c r="F786" s="4"/>
    </row>
    <row r="787" spans="1:6" ht="72" customHeight="1" x14ac:dyDescent="0.2">
      <c r="A787" s="4"/>
      <c r="B787" s="4"/>
      <c r="C787" s="4"/>
      <c r="D787" s="4"/>
      <c r="E787" s="4"/>
      <c r="F787" s="4"/>
    </row>
    <row r="788" spans="1:6" ht="72" customHeight="1" x14ac:dyDescent="0.2">
      <c r="A788" s="4"/>
      <c r="B788" s="4"/>
      <c r="C788" s="4"/>
      <c r="D788" s="4"/>
      <c r="E788" s="4"/>
      <c r="F788" s="4"/>
    </row>
    <row r="789" spans="1:6" ht="72" customHeight="1" x14ac:dyDescent="0.2">
      <c r="A789" s="4"/>
      <c r="B789" s="4"/>
      <c r="C789" s="4"/>
      <c r="D789" s="4"/>
      <c r="E789" s="4"/>
      <c r="F789" s="4"/>
    </row>
    <row r="790" spans="1:6" ht="72" customHeight="1" x14ac:dyDescent="0.2">
      <c r="A790" s="4"/>
      <c r="B790" s="4"/>
      <c r="C790" s="4"/>
      <c r="D790" s="4"/>
      <c r="E790" s="4"/>
      <c r="F790" s="4"/>
    </row>
    <row r="791" spans="1:6" ht="72" customHeight="1" x14ac:dyDescent="0.2">
      <c r="A791" s="4"/>
      <c r="B791" s="4"/>
      <c r="C791" s="4"/>
      <c r="D791" s="4"/>
      <c r="E791" s="4"/>
      <c r="F791" s="4"/>
    </row>
    <row r="792" spans="1:6" ht="72" customHeight="1" x14ac:dyDescent="0.2">
      <c r="A792" s="4"/>
      <c r="B792" s="4"/>
      <c r="C792" s="4"/>
      <c r="D792" s="4"/>
      <c r="E792" s="4"/>
      <c r="F792" s="4"/>
    </row>
    <row r="793" spans="1:6" ht="72" customHeight="1" x14ac:dyDescent="0.2">
      <c r="A793" s="4"/>
      <c r="B793" s="4"/>
      <c r="C793" s="4"/>
      <c r="D793" s="4"/>
      <c r="E793" s="4"/>
      <c r="F793" s="4"/>
    </row>
    <row r="794" spans="1:6" ht="72" customHeight="1" x14ac:dyDescent="0.2">
      <c r="A794" s="4"/>
      <c r="B794" s="4"/>
      <c r="C794" s="4"/>
      <c r="D794" s="4"/>
      <c r="E794" s="4"/>
      <c r="F794" s="4"/>
    </row>
    <row r="795" spans="1:6" ht="72" customHeight="1" x14ac:dyDescent="0.2">
      <c r="A795" s="4"/>
      <c r="B795" s="4"/>
      <c r="C795" s="4"/>
      <c r="D795" s="4"/>
      <c r="E795" s="4"/>
      <c r="F795" s="4"/>
    </row>
    <row r="796" spans="1:6" ht="72" customHeight="1" x14ac:dyDescent="0.2">
      <c r="A796" s="4"/>
      <c r="B796" s="4"/>
      <c r="C796" s="4"/>
      <c r="D796" s="4"/>
      <c r="E796" s="4"/>
      <c r="F796" s="4"/>
    </row>
    <row r="797" spans="1:6" ht="72" customHeight="1" x14ac:dyDescent="0.2">
      <c r="A797" s="4"/>
      <c r="B797" s="4"/>
      <c r="C797" s="4"/>
      <c r="D797" s="4"/>
      <c r="E797" s="4"/>
      <c r="F797" s="4"/>
    </row>
    <row r="798" spans="1:6" ht="72" customHeight="1" x14ac:dyDescent="0.2">
      <c r="A798" s="4"/>
      <c r="B798" s="4"/>
      <c r="C798" s="4"/>
      <c r="D798" s="4"/>
      <c r="E798" s="4"/>
      <c r="F798" s="4"/>
    </row>
    <row r="799" spans="1:6" ht="72" customHeight="1" x14ac:dyDescent="0.2">
      <c r="A799" s="4"/>
      <c r="B799" s="4"/>
      <c r="C799" s="4"/>
      <c r="D799" s="4"/>
      <c r="E799" s="4"/>
      <c r="F799" s="4"/>
    </row>
    <row r="800" spans="1:6" ht="72" customHeight="1" x14ac:dyDescent="0.2">
      <c r="A800" s="4"/>
      <c r="B800" s="4"/>
      <c r="C800" s="4"/>
      <c r="D800" s="4"/>
      <c r="E800" s="4"/>
      <c r="F800" s="4"/>
    </row>
    <row r="801" spans="1:6" ht="72" customHeight="1" x14ac:dyDescent="0.2">
      <c r="A801" s="4"/>
      <c r="B801" s="4"/>
      <c r="C801" s="4"/>
      <c r="D801" s="4"/>
      <c r="E801" s="4"/>
      <c r="F801" s="4"/>
    </row>
    <row r="802" spans="1:6" ht="72" customHeight="1" x14ac:dyDescent="0.2">
      <c r="A802" s="4"/>
      <c r="B802" s="4"/>
      <c r="C802" s="4"/>
      <c r="D802" s="4"/>
      <c r="E802" s="4"/>
      <c r="F802" s="4"/>
    </row>
    <row r="803" spans="1:6" ht="72" customHeight="1" x14ac:dyDescent="0.2">
      <c r="A803" s="4"/>
      <c r="B803" s="4"/>
      <c r="C803" s="4"/>
      <c r="D803" s="4"/>
      <c r="E803" s="4"/>
      <c r="F803" s="4"/>
    </row>
    <row r="804" spans="1:6" ht="72" customHeight="1" x14ac:dyDescent="0.2">
      <c r="A804" s="4"/>
      <c r="B804" s="4"/>
      <c r="C804" s="4"/>
      <c r="D804" s="4"/>
      <c r="E804" s="4"/>
      <c r="F804" s="4"/>
    </row>
    <row r="805" spans="1:6" ht="72" customHeight="1" x14ac:dyDescent="0.2">
      <c r="A805" s="4"/>
      <c r="B805" s="4"/>
      <c r="C805" s="4"/>
      <c r="D805" s="4"/>
      <c r="E805" s="4"/>
      <c r="F805" s="4"/>
    </row>
    <row r="806" spans="1:6" ht="72" customHeight="1" x14ac:dyDescent="0.2">
      <c r="A806" s="4"/>
      <c r="B806" s="4"/>
      <c r="C806" s="4"/>
      <c r="D806" s="4"/>
      <c r="E806" s="4"/>
      <c r="F806" s="4"/>
    </row>
    <row r="807" spans="1:6" ht="72" customHeight="1" x14ac:dyDescent="0.2">
      <c r="A807" s="4"/>
      <c r="B807" s="4"/>
      <c r="C807" s="4"/>
      <c r="D807" s="4"/>
      <c r="E807" s="4"/>
      <c r="F807" s="4"/>
    </row>
    <row r="808" spans="1:6" ht="72" customHeight="1" x14ac:dyDescent="0.2">
      <c r="A808" s="4"/>
      <c r="B808" s="4"/>
      <c r="C808" s="4"/>
      <c r="D808" s="4"/>
      <c r="E808" s="4"/>
      <c r="F808" s="4"/>
    </row>
    <row r="809" spans="1:6" ht="72" customHeight="1" x14ac:dyDescent="0.2">
      <c r="A809" s="4"/>
      <c r="B809" s="4"/>
      <c r="C809" s="4"/>
      <c r="D809" s="4"/>
      <c r="E809" s="4"/>
      <c r="F809" s="4"/>
    </row>
    <row r="810" spans="1:6" ht="72" customHeight="1" x14ac:dyDescent="0.2">
      <c r="A810" s="4"/>
      <c r="B810" s="4"/>
      <c r="C810" s="4"/>
      <c r="D810" s="4"/>
      <c r="E810" s="4"/>
      <c r="F810" s="4"/>
    </row>
    <row r="811" spans="1:6" ht="72" customHeight="1" x14ac:dyDescent="0.2">
      <c r="A811" s="4"/>
      <c r="B811" s="4"/>
      <c r="C811" s="4"/>
      <c r="D811" s="4"/>
      <c r="E811" s="4"/>
      <c r="F811" s="4"/>
    </row>
    <row r="812" spans="1:6" ht="72" customHeight="1" x14ac:dyDescent="0.2">
      <c r="A812" s="4"/>
      <c r="B812" s="4"/>
      <c r="C812" s="4"/>
      <c r="D812" s="4"/>
      <c r="E812" s="4"/>
      <c r="F812" s="4"/>
    </row>
    <row r="813" spans="1:6" ht="72" customHeight="1" x14ac:dyDescent="0.2">
      <c r="A813" s="4"/>
      <c r="B813" s="4"/>
      <c r="C813" s="4"/>
      <c r="D813" s="4"/>
      <c r="E813" s="4"/>
      <c r="F813" s="4"/>
    </row>
    <row r="814" spans="1:6" ht="72" customHeight="1" x14ac:dyDescent="0.2">
      <c r="A814" s="4"/>
      <c r="B814" s="4"/>
      <c r="C814" s="4"/>
      <c r="D814" s="4"/>
      <c r="E814" s="4"/>
      <c r="F814" s="4"/>
    </row>
    <row r="815" spans="1:6" ht="72" customHeight="1" x14ac:dyDescent="0.2">
      <c r="A815" s="4"/>
      <c r="B815" s="4"/>
      <c r="C815" s="4"/>
      <c r="D815" s="4"/>
      <c r="E815" s="4"/>
      <c r="F815" s="4"/>
    </row>
    <row r="816" spans="1:6" ht="72" customHeight="1" x14ac:dyDescent="0.2">
      <c r="A816" s="4"/>
      <c r="B816" s="4"/>
      <c r="C816" s="4"/>
      <c r="D816" s="4"/>
      <c r="E816" s="4"/>
      <c r="F816" s="4"/>
    </row>
    <row r="817" spans="1:6" ht="72" customHeight="1" x14ac:dyDescent="0.2">
      <c r="A817" s="4"/>
      <c r="B817" s="4"/>
      <c r="C817" s="4"/>
      <c r="D817" s="4"/>
      <c r="E817" s="4"/>
      <c r="F817" s="4"/>
    </row>
    <row r="818" spans="1:6" ht="72" customHeight="1" x14ac:dyDescent="0.2">
      <c r="A818" s="4"/>
      <c r="B818" s="4"/>
      <c r="C818" s="4"/>
      <c r="D818" s="4"/>
      <c r="E818" s="4"/>
      <c r="F818" s="4"/>
    </row>
    <row r="819" spans="1:6" ht="72" customHeight="1" x14ac:dyDescent="0.2">
      <c r="A819" s="4"/>
      <c r="B819" s="4"/>
      <c r="C819" s="4"/>
      <c r="D819" s="4"/>
      <c r="E819" s="4"/>
      <c r="F819" s="4"/>
    </row>
    <row r="820" spans="1:6" ht="72" customHeight="1" x14ac:dyDescent="0.2">
      <c r="A820" s="4"/>
      <c r="B820" s="4"/>
      <c r="C820" s="4"/>
      <c r="D820" s="4"/>
      <c r="E820" s="4"/>
      <c r="F820" s="4"/>
    </row>
    <row r="821" spans="1:6" ht="72" customHeight="1" x14ac:dyDescent="0.2">
      <c r="A821" s="4"/>
      <c r="B821" s="4"/>
      <c r="C821" s="4"/>
      <c r="D821" s="4"/>
      <c r="E821" s="4"/>
      <c r="F821" s="4"/>
    </row>
    <row r="822" spans="1:6" ht="72" customHeight="1" x14ac:dyDescent="0.2">
      <c r="A822" s="4"/>
      <c r="B822" s="4"/>
      <c r="C822" s="4"/>
      <c r="D822" s="4"/>
      <c r="E822" s="4"/>
      <c r="F822" s="4"/>
    </row>
    <row r="823" spans="1:6" ht="72" customHeight="1" x14ac:dyDescent="0.2">
      <c r="A823" s="4"/>
      <c r="B823" s="4"/>
      <c r="C823" s="4"/>
      <c r="D823" s="4"/>
      <c r="E823" s="4"/>
      <c r="F823" s="4"/>
    </row>
    <row r="824" spans="1:6" ht="72" customHeight="1" x14ac:dyDescent="0.2">
      <c r="A824" s="4"/>
      <c r="B824" s="4"/>
      <c r="C824" s="4"/>
      <c r="D824" s="4"/>
      <c r="E824" s="4"/>
      <c r="F824" s="4"/>
    </row>
    <row r="825" spans="1:6" ht="72" customHeight="1" x14ac:dyDescent="0.2">
      <c r="A825" s="4"/>
      <c r="B825" s="4"/>
      <c r="C825" s="4"/>
      <c r="D825" s="4"/>
      <c r="E825" s="4"/>
      <c r="F825" s="4"/>
    </row>
    <row r="826" spans="1:6" ht="72" customHeight="1" x14ac:dyDescent="0.2">
      <c r="A826" s="4"/>
      <c r="B826" s="4"/>
      <c r="C826" s="4"/>
      <c r="D826" s="4"/>
      <c r="E826" s="4"/>
      <c r="F826" s="4"/>
    </row>
    <row r="827" spans="1:6" ht="72" customHeight="1" x14ac:dyDescent="0.2">
      <c r="A827" s="4"/>
      <c r="B827" s="4"/>
      <c r="C827" s="4"/>
      <c r="D827" s="4"/>
      <c r="E827" s="4"/>
      <c r="F827" s="4"/>
    </row>
    <row r="828" spans="1:6" ht="72" customHeight="1" x14ac:dyDescent="0.2">
      <c r="A828" s="4"/>
      <c r="B828" s="4"/>
      <c r="C828" s="4"/>
      <c r="D828" s="4"/>
      <c r="E828" s="4"/>
      <c r="F828" s="4"/>
    </row>
    <row r="829" spans="1:6" ht="72" customHeight="1" x14ac:dyDescent="0.2">
      <c r="A829" s="4"/>
      <c r="B829" s="4"/>
      <c r="C829" s="4"/>
      <c r="D829" s="4"/>
      <c r="E829" s="4"/>
      <c r="F829" s="4"/>
    </row>
    <row r="830" spans="1:6" ht="72" customHeight="1" x14ac:dyDescent="0.2">
      <c r="A830" s="4"/>
      <c r="B830" s="4"/>
      <c r="C830" s="4"/>
      <c r="D830" s="4"/>
      <c r="E830" s="4"/>
      <c r="F830" s="4"/>
    </row>
    <row r="831" spans="1:6" ht="72" customHeight="1" x14ac:dyDescent="0.2">
      <c r="A831" s="4"/>
      <c r="B831" s="4"/>
      <c r="C831" s="4"/>
      <c r="D831" s="4"/>
      <c r="E831" s="4"/>
      <c r="F831" s="4"/>
    </row>
    <row r="832" spans="1:6" ht="72" customHeight="1" x14ac:dyDescent="0.2">
      <c r="A832" s="4"/>
      <c r="B832" s="4"/>
      <c r="C832" s="4"/>
      <c r="D832" s="4"/>
      <c r="E832" s="4"/>
      <c r="F832" s="4"/>
    </row>
    <row r="833" spans="1:6" ht="72" customHeight="1" x14ac:dyDescent="0.2">
      <c r="A833" s="4"/>
      <c r="B833" s="4"/>
      <c r="C833" s="4"/>
      <c r="D833" s="4"/>
      <c r="E833" s="4"/>
      <c r="F833" s="4"/>
    </row>
    <row r="834" spans="1:6" ht="72" customHeight="1" x14ac:dyDescent="0.2">
      <c r="A834" s="4"/>
      <c r="B834" s="4"/>
      <c r="C834" s="4"/>
      <c r="D834" s="4"/>
      <c r="E834" s="4"/>
      <c r="F834" s="4"/>
    </row>
    <row r="835" spans="1:6" ht="72" customHeight="1" x14ac:dyDescent="0.2">
      <c r="A835" s="4"/>
      <c r="B835" s="4"/>
      <c r="C835" s="4"/>
      <c r="D835" s="4"/>
      <c r="E835" s="4"/>
      <c r="F835" s="4"/>
    </row>
    <row r="836" spans="1:6" ht="72" customHeight="1" x14ac:dyDescent="0.2">
      <c r="A836" s="4"/>
      <c r="B836" s="4"/>
      <c r="C836" s="4"/>
      <c r="D836" s="4"/>
      <c r="E836" s="4"/>
      <c r="F836" s="4"/>
    </row>
    <row r="837" spans="1:6" ht="72" customHeight="1" x14ac:dyDescent="0.2">
      <c r="A837" s="4"/>
      <c r="B837" s="4"/>
      <c r="C837" s="4"/>
      <c r="D837" s="4"/>
      <c r="E837" s="4"/>
      <c r="F837" s="4"/>
    </row>
    <row r="838" spans="1:6" ht="72" customHeight="1" x14ac:dyDescent="0.2">
      <c r="A838" s="4"/>
      <c r="B838" s="4"/>
      <c r="C838" s="4"/>
      <c r="D838" s="4"/>
      <c r="E838" s="4"/>
      <c r="F838" s="4"/>
    </row>
    <row r="839" spans="1:6" ht="72" customHeight="1" x14ac:dyDescent="0.2">
      <c r="A839" s="4"/>
      <c r="B839" s="4"/>
      <c r="C839" s="4"/>
      <c r="D839" s="4"/>
      <c r="E839" s="4"/>
      <c r="F839" s="4"/>
    </row>
    <row r="840" spans="1:6" ht="72" customHeight="1" x14ac:dyDescent="0.2">
      <c r="A840" s="4"/>
      <c r="B840" s="4"/>
      <c r="C840" s="4"/>
      <c r="D840" s="4"/>
      <c r="E840" s="4"/>
      <c r="F840" s="4"/>
    </row>
    <row r="841" spans="1:6" ht="72" customHeight="1" x14ac:dyDescent="0.2">
      <c r="A841" s="4"/>
      <c r="B841" s="4"/>
      <c r="C841" s="4"/>
      <c r="D841" s="4"/>
      <c r="E841" s="4"/>
      <c r="F841" s="4"/>
    </row>
    <row r="842" spans="1:6" ht="72" customHeight="1" x14ac:dyDescent="0.2">
      <c r="A842" s="4"/>
      <c r="B842" s="4"/>
      <c r="C842" s="4"/>
      <c r="D842" s="4"/>
      <c r="E842" s="4"/>
      <c r="F842" s="4"/>
    </row>
    <row r="843" spans="1:6" ht="72" customHeight="1" x14ac:dyDescent="0.2">
      <c r="A843" s="4"/>
      <c r="B843" s="4"/>
      <c r="C843" s="4"/>
      <c r="D843" s="4"/>
      <c r="E843" s="4"/>
      <c r="F843" s="4"/>
    </row>
    <row r="844" spans="1:6" ht="72" customHeight="1" x14ac:dyDescent="0.2">
      <c r="A844" s="4"/>
      <c r="B844" s="4"/>
      <c r="C844" s="4"/>
      <c r="D844" s="4"/>
      <c r="E844" s="4"/>
      <c r="F844" s="4"/>
    </row>
    <row r="845" spans="1:6" ht="72" customHeight="1" x14ac:dyDescent="0.2">
      <c r="A845" s="4"/>
      <c r="B845" s="4"/>
      <c r="C845" s="4"/>
      <c r="D845" s="4"/>
      <c r="E845" s="4"/>
      <c r="F845" s="4"/>
    </row>
    <row r="846" spans="1:6" ht="72" customHeight="1" x14ac:dyDescent="0.2">
      <c r="A846" s="4"/>
      <c r="B846" s="4"/>
      <c r="C846" s="4"/>
      <c r="D846" s="4"/>
      <c r="E846" s="4"/>
      <c r="F846" s="4"/>
    </row>
    <row r="847" spans="1:6" ht="72" customHeight="1" x14ac:dyDescent="0.2">
      <c r="A847" s="4"/>
      <c r="B847" s="4"/>
      <c r="C847" s="4"/>
      <c r="D847" s="4"/>
      <c r="E847" s="4"/>
      <c r="F847" s="4"/>
    </row>
    <row r="848" spans="1:6" ht="72" customHeight="1" x14ac:dyDescent="0.2">
      <c r="A848" s="4"/>
      <c r="B848" s="4"/>
      <c r="C848" s="4"/>
      <c r="D848" s="4"/>
      <c r="E848" s="4"/>
      <c r="F848" s="4"/>
    </row>
    <row r="849" spans="1:6" ht="72" customHeight="1" x14ac:dyDescent="0.2">
      <c r="A849" s="4"/>
      <c r="B849" s="4"/>
      <c r="C849" s="4"/>
      <c r="D849" s="4"/>
      <c r="E849" s="4"/>
      <c r="F849" s="4"/>
    </row>
    <row r="850" spans="1:6" ht="72" customHeight="1" x14ac:dyDescent="0.2">
      <c r="A850" s="4"/>
      <c r="B850" s="4"/>
      <c r="C850" s="4"/>
      <c r="D850" s="4"/>
      <c r="E850" s="4"/>
      <c r="F850" s="4"/>
    </row>
    <row r="851" spans="1:6" ht="72" customHeight="1" x14ac:dyDescent="0.2">
      <c r="A851" s="4"/>
      <c r="B851" s="4"/>
      <c r="C851" s="4"/>
      <c r="D851" s="4"/>
      <c r="E851" s="4"/>
      <c r="F851" s="4"/>
    </row>
    <row r="852" spans="1:6" ht="72" customHeight="1" x14ac:dyDescent="0.2">
      <c r="A852" s="4"/>
      <c r="B852" s="4"/>
      <c r="C852" s="4"/>
      <c r="D852" s="4"/>
      <c r="E852" s="4"/>
      <c r="F852" s="4"/>
    </row>
    <row r="853" spans="1:6" ht="72" customHeight="1" x14ac:dyDescent="0.2">
      <c r="A853" s="4"/>
      <c r="B853" s="4"/>
      <c r="C853" s="4"/>
      <c r="D853" s="4"/>
      <c r="E853" s="4"/>
      <c r="F853" s="4"/>
    </row>
    <row r="854" spans="1:6" ht="72" customHeight="1" x14ac:dyDescent="0.2">
      <c r="A854" s="4"/>
      <c r="B854" s="4"/>
      <c r="C854" s="4"/>
      <c r="D854" s="4"/>
      <c r="E854" s="4"/>
      <c r="F854" s="4"/>
    </row>
    <row r="855" spans="1:6" ht="72" customHeight="1" x14ac:dyDescent="0.2">
      <c r="A855" s="4"/>
      <c r="B855" s="4"/>
      <c r="C855" s="4"/>
      <c r="D855" s="4"/>
      <c r="E855" s="4"/>
      <c r="F855" s="4"/>
    </row>
    <row r="856" spans="1:6" ht="72" customHeight="1" x14ac:dyDescent="0.2">
      <c r="A856" s="4"/>
      <c r="B856" s="4"/>
      <c r="C856" s="4"/>
      <c r="D856" s="4"/>
      <c r="E856" s="4"/>
      <c r="F856" s="4"/>
    </row>
    <row r="857" spans="1:6" ht="72" customHeight="1" x14ac:dyDescent="0.2">
      <c r="A857" s="4"/>
      <c r="B857" s="4"/>
      <c r="C857" s="4"/>
      <c r="D857" s="4"/>
      <c r="E857" s="4"/>
      <c r="F857" s="4"/>
    </row>
    <row r="858" spans="1:6" ht="72" customHeight="1" x14ac:dyDescent="0.2">
      <c r="A858" s="4"/>
      <c r="B858" s="4"/>
      <c r="C858" s="4"/>
      <c r="D858" s="4"/>
      <c r="E858" s="4"/>
      <c r="F858" s="4"/>
    </row>
    <row r="859" spans="1:6" ht="72" customHeight="1" x14ac:dyDescent="0.2">
      <c r="A859" s="4"/>
      <c r="B859" s="4"/>
      <c r="C859" s="4"/>
      <c r="D859" s="4"/>
      <c r="E859" s="4"/>
      <c r="F859" s="4"/>
    </row>
    <row r="860" spans="1:6" ht="72" customHeight="1" x14ac:dyDescent="0.2">
      <c r="A860" s="4"/>
      <c r="B860" s="4"/>
      <c r="C860" s="4"/>
      <c r="D860" s="4"/>
      <c r="E860" s="4"/>
      <c r="F860" s="4"/>
    </row>
    <row r="861" spans="1:6" ht="72" customHeight="1" x14ac:dyDescent="0.2">
      <c r="A861" s="4"/>
      <c r="B861" s="4"/>
      <c r="C861" s="4"/>
      <c r="D861" s="4"/>
      <c r="E861" s="4"/>
      <c r="F861" s="4"/>
    </row>
    <row r="862" spans="1:6" ht="72" customHeight="1" x14ac:dyDescent="0.2">
      <c r="A862" s="4"/>
      <c r="B862" s="4"/>
      <c r="C862" s="4"/>
      <c r="D862" s="4"/>
      <c r="E862" s="4"/>
      <c r="F862" s="4"/>
    </row>
    <row r="863" spans="1:6" ht="72" customHeight="1" x14ac:dyDescent="0.2">
      <c r="A863" s="4"/>
      <c r="B863" s="4"/>
      <c r="C863" s="4"/>
      <c r="D863" s="4"/>
      <c r="E863" s="4"/>
      <c r="F863" s="4"/>
    </row>
    <row r="864" spans="1:6" ht="72" customHeight="1" x14ac:dyDescent="0.2">
      <c r="A864" s="4"/>
      <c r="B864" s="4"/>
      <c r="C864" s="4"/>
      <c r="D864" s="4"/>
      <c r="E864" s="4"/>
      <c r="F864" s="4"/>
    </row>
    <row r="865" spans="1:6" ht="72" customHeight="1" x14ac:dyDescent="0.2">
      <c r="A865" s="4"/>
      <c r="B865" s="4"/>
      <c r="C865" s="4"/>
      <c r="D865" s="4"/>
      <c r="E865" s="4"/>
      <c r="F865" s="4"/>
    </row>
    <row r="866" spans="1:6" ht="72" customHeight="1" x14ac:dyDescent="0.2">
      <c r="A866" s="4"/>
      <c r="B866" s="4"/>
      <c r="C866" s="4"/>
      <c r="D866" s="4"/>
      <c r="E866" s="4"/>
      <c r="F866" s="4"/>
    </row>
    <row r="867" spans="1:6" ht="72" customHeight="1" x14ac:dyDescent="0.2">
      <c r="A867" s="4"/>
      <c r="B867" s="4"/>
      <c r="C867" s="4"/>
      <c r="D867" s="4"/>
      <c r="E867" s="4"/>
      <c r="F867" s="4"/>
    </row>
    <row r="868" spans="1:6" ht="72" customHeight="1" x14ac:dyDescent="0.2">
      <c r="A868" s="4"/>
      <c r="B868" s="4"/>
      <c r="C868" s="4"/>
      <c r="D868" s="4"/>
      <c r="E868" s="4"/>
      <c r="F868" s="4"/>
    </row>
    <row r="869" spans="1:6" ht="72" customHeight="1" x14ac:dyDescent="0.2">
      <c r="A869" s="4"/>
      <c r="B869" s="4"/>
      <c r="C869" s="4"/>
      <c r="D869" s="4"/>
      <c r="E869" s="4"/>
      <c r="F869" s="4"/>
    </row>
    <row r="870" spans="1:6" ht="72" customHeight="1" x14ac:dyDescent="0.2">
      <c r="A870" s="4"/>
      <c r="B870" s="4"/>
      <c r="C870" s="4"/>
      <c r="D870" s="4"/>
      <c r="E870" s="4"/>
      <c r="F870" s="4"/>
    </row>
    <row r="871" spans="1:6" ht="72" customHeight="1" x14ac:dyDescent="0.2">
      <c r="A871" s="4"/>
      <c r="B871" s="4"/>
      <c r="C871" s="4"/>
      <c r="D871" s="4"/>
      <c r="E871" s="4"/>
      <c r="F871" s="4"/>
    </row>
    <row r="872" spans="1:6" ht="72" customHeight="1" x14ac:dyDescent="0.2">
      <c r="A872" s="4"/>
      <c r="B872" s="4"/>
      <c r="C872" s="4"/>
      <c r="D872" s="4"/>
      <c r="E872" s="4"/>
      <c r="F872" s="4"/>
    </row>
    <row r="873" spans="1:6" ht="72" customHeight="1" x14ac:dyDescent="0.2">
      <c r="A873" s="4"/>
      <c r="B873" s="4"/>
      <c r="C873" s="4"/>
      <c r="D873" s="4"/>
      <c r="E873" s="4"/>
      <c r="F873" s="4"/>
    </row>
    <row r="874" spans="1:6" ht="72" customHeight="1" x14ac:dyDescent="0.2">
      <c r="A874" s="4"/>
      <c r="B874" s="4"/>
      <c r="C874" s="4"/>
      <c r="D874" s="4"/>
      <c r="E874" s="4"/>
      <c r="F874" s="4"/>
    </row>
    <row r="875" spans="1:6" ht="72" customHeight="1" x14ac:dyDescent="0.2">
      <c r="A875" s="4"/>
      <c r="B875" s="4"/>
      <c r="C875" s="4"/>
      <c r="D875" s="4"/>
      <c r="E875" s="4"/>
      <c r="F875" s="4"/>
    </row>
    <row r="876" spans="1:6" ht="72" customHeight="1" x14ac:dyDescent="0.2">
      <c r="A876" s="4"/>
      <c r="B876" s="4"/>
      <c r="C876" s="4"/>
      <c r="D876" s="4"/>
      <c r="E876" s="4"/>
      <c r="F876" s="4"/>
    </row>
    <row r="877" spans="1:6" ht="72" customHeight="1" x14ac:dyDescent="0.2">
      <c r="A877" s="4"/>
      <c r="B877" s="4"/>
      <c r="C877" s="4"/>
      <c r="D877" s="4"/>
      <c r="E877" s="4"/>
      <c r="F877" s="4"/>
    </row>
    <row r="878" spans="1:6" ht="72" customHeight="1" x14ac:dyDescent="0.2">
      <c r="A878" s="4"/>
      <c r="B878" s="4"/>
      <c r="C878" s="4"/>
      <c r="D878" s="4"/>
      <c r="E878" s="4"/>
      <c r="F878" s="4"/>
    </row>
    <row r="879" spans="1:6" ht="72" customHeight="1" x14ac:dyDescent="0.2">
      <c r="A879" s="4"/>
      <c r="B879" s="4"/>
      <c r="C879" s="4"/>
      <c r="D879" s="4"/>
      <c r="E879" s="4"/>
      <c r="F879" s="4"/>
    </row>
    <row r="880" spans="1:6" ht="72" customHeight="1" x14ac:dyDescent="0.2">
      <c r="A880" s="4"/>
      <c r="B880" s="4"/>
      <c r="C880" s="4"/>
      <c r="D880" s="4"/>
      <c r="E880" s="4"/>
      <c r="F880" s="4"/>
    </row>
    <row r="881" spans="1:6" ht="72" customHeight="1" x14ac:dyDescent="0.2">
      <c r="A881" s="4"/>
      <c r="B881" s="4"/>
      <c r="C881" s="4"/>
      <c r="D881" s="4"/>
      <c r="E881" s="4"/>
      <c r="F881" s="4"/>
    </row>
    <row r="882" spans="1:6" ht="72" customHeight="1" x14ac:dyDescent="0.2">
      <c r="A882" s="4"/>
      <c r="B882" s="4"/>
      <c r="C882" s="4"/>
      <c r="D882" s="4"/>
      <c r="E882" s="4"/>
      <c r="F882" s="4"/>
    </row>
    <row r="883" spans="1:6" ht="72" customHeight="1" x14ac:dyDescent="0.2">
      <c r="A883" s="4"/>
      <c r="B883" s="4"/>
      <c r="C883" s="4"/>
      <c r="D883" s="4"/>
      <c r="E883" s="4"/>
      <c r="F883" s="4"/>
    </row>
    <row r="884" spans="1:6" ht="72" customHeight="1" x14ac:dyDescent="0.2">
      <c r="A884" s="4"/>
      <c r="B884" s="4"/>
      <c r="C884" s="4"/>
      <c r="D884" s="4"/>
      <c r="E884" s="4"/>
      <c r="F884" s="4"/>
    </row>
    <row r="885" spans="1:6" ht="72" customHeight="1" x14ac:dyDescent="0.2">
      <c r="A885" s="4"/>
      <c r="B885" s="4"/>
      <c r="C885" s="4"/>
      <c r="D885" s="4"/>
      <c r="E885" s="4"/>
      <c r="F885" s="4"/>
    </row>
    <row r="886" spans="1:6" ht="72" customHeight="1" x14ac:dyDescent="0.2">
      <c r="A886" s="4"/>
      <c r="B886" s="4"/>
      <c r="C886" s="4"/>
      <c r="D886" s="4"/>
      <c r="E886" s="4"/>
      <c r="F886" s="4"/>
    </row>
    <row r="887" spans="1:6" ht="72" customHeight="1" x14ac:dyDescent="0.2">
      <c r="A887" s="4"/>
      <c r="B887" s="4"/>
      <c r="C887" s="4"/>
      <c r="D887" s="4"/>
      <c r="E887" s="4"/>
      <c r="F887" s="4"/>
    </row>
    <row r="888" spans="1:6" ht="72" customHeight="1" x14ac:dyDescent="0.2">
      <c r="A888" s="4"/>
      <c r="B888" s="4"/>
      <c r="C888" s="4"/>
      <c r="D888" s="4"/>
      <c r="E888" s="4"/>
      <c r="F888" s="4"/>
    </row>
    <row r="889" spans="1:6" ht="72" customHeight="1" x14ac:dyDescent="0.2">
      <c r="A889" s="4"/>
      <c r="B889" s="4"/>
      <c r="C889" s="4"/>
      <c r="D889" s="4"/>
      <c r="E889" s="4"/>
      <c r="F889" s="4"/>
    </row>
    <row r="890" spans="1:6" ht="72" customHeight="1" x14ac:dyDescent="0.2">
      <c r="A890" s="4"/>
      <c r="B890" s="4"/>
      <c r="C890" s="4"/>
      <c r="D890" s="4"/>
      <c r="E890" s="4"/>
      <c r="F890" s="4"/>
    </row>
    <row r="891" spans="1:6" ht="72" customHeight="1" x14ac:dyDescent="0.2">
      <c r="A891" s="4"/>
      <c r="B891" s="4"/>
      <c r="C891" s="4"/>
      <c r="D891" s="4"/>
      <c r="E891" s="4"/>
      <c r="F891" s="4"/>
    </row>
    <row r="892" spans="1:6" ht="72" customHeight="1" x14ac:dyDescent="0.2">
      <c r="A892" s="4"/>
      <c r="B892" s="4"/>
      <c r="C892" s="4"/>
      <c r="D892" s="4"/>
      <c r="E892" s="4"/>
      <c r="F892" s="4"/>
    </row>
    <row r="893" spans="1:6" ht="72" customHeight="1" x14ac:dyDescent="0.2">
      <c r="A893" s="4"/>
      <c r="B893" s="4"/>
      <c r="C893" s="4"/>
      <c r="D893" s="4"/>
      <c r="E893" s="4"/>
      <c r="F893" s="4"/>
    </row>
    <row r="894" spans="1:6" ht="72" customHeight="1" x14ac:dyDescent="0.2">
      <c r="A894" s="4"/>
      <c r="B894" s="4"/>
      <c r="C894" s="4"/>
      <c r="D894" s="4"/>
      <c r="E894" s="4"/>
      <c r="F894" s="4"/>
    </row>
    <row r="895" spans="1:6" ht="72" customHeight="1" x14ac:dyDescent="0.2">
      <c r="A895" s="4"/>
      <c r="B895" s="4"/>
      <c r="C895" s="4"/>
      <c r="D895" s="4"/>
      <c r="E895" s="4"/>
      <c r="F895" s="4"/>
    </row>
    <row r="896" spans="1:6" ht="72" customHeight="1" x14ac:dyDescent="0.2">
      <c r="A896" s="4"/>
      <c r="B896" s="4"/>
      <c r="C896" s="4"/>
      <c r="D896" s="4"/>
      <c r="E896" s="4"/>
      <c r="F896" s="4"/>
    </row>
    <row r="897" spans="1:6" ht="72" customHeight="1" x14ac:dyDescent="0.2">
      <c r="A897" s="4"/>
      <c r="B897" s="4"/>
      <c r="C897" s="4"/>
      <c r="D897" s="4"/>
      <c r="E897" s="4"/>
      <c r="F897" s="4"/>
    </row>
    <row r="898" spans="1:6" ht="72" customHeight="1" x14ac:dyDescent="0.2">
      <c r="A898" s="4"/>
      <c r="B898" s="4"/>
      <c r="C898" s="4"/>
      <c r="D898" s="4"/>
      <c r="E898" s="4"/>
      <c r="F898" s="4"/>
    </row>
    <row r="899" spans="1:6" ht="72" customHeight="1" x14ac:dyDescent="0.2">
      <c r="A899" s="4"/>
      <c r="B899" s="4"/>
      <c r="C899" s="4"/>
      <c r="D899" s="4"/>
      <c r="E899" s="4"/>
      <c r="F899" s="4"/>
    </row>
    <row r="900" spans="1:6" ht="72" customHeight="1" x14ac:dyDescent="0.2">
      <c r="A900" s="4"/>
      <c r="B900" s="4"/>
      <c r="C900" s="4"/>
      <c r="D900" s="4"/>
      <c r="E900" s="4"/>
      <c r="F900" s="4"/>
    </row>
    <row r="901" spans="1:6" ht="72" customHeight="1" x14ac:dyDescent="0.2">
      <c r="A901" s="4"/>
      <c r="B901" s="4"/>
      <c r="C901" s="4"/>
      <c r="D901" s="4"/>
      <c r="E901" s="4"/>
      <c r="F901" s="4"/>
    </row>
    <row r="902" spans="1:6" ht="72" customHeight="1" x14ac:dyDescent="0.2">
      <c r="A902" s="4"/>
      <c r="B902" s="4"/>
      <c r="C902" s="4"/>
      <c r="D902" s="4"/>
      <c r="E902" s="4"/>
      <c r="F902" s="4"/>
    </row>
    <row r="903" spans="1:6" ht="72" customHeight="1" x14ac:dyDescent="0.2">
      <c r="A903" s="4"/>
      <c r="B903" s="4"/>
      <c r="C903" s="4"/>
      <c r="D903" s="4"/>
      <c r="E903" s="4"/>
      <c r="F903" s="4"/>
    </row>
    <row r="904" spans="1:6" ht="72" customHeight="1" x14ac:dyDescent="0.2">
      <c r="A904" s="4"/>
      <c r="B904" s="4"/>
      <c r="C904" s="4"/>
      <c r="D904" s="4"/>
      <c r="E904" s="4"/>
      <c r="F904" s="4"/>
    </row>
    <row r="905" spans="1:6" ht="72" customHeight="1" x14ac:dyDescent="0.2">
      <c r="A905" s="4"/>
      <c r="B905" s="4"/>
      <c r="C905" s="4"/>
      <c r="D905" s="4"/>
      <c r="E905" s="4"/>
      <c r="F905" s="4"/>
    </row>
    <row r="906" spans="1:6" ht="72" customHeight="1" x14ac:dyDescent="0.2">
      <c r="A906" s="4"/>
      <c r="B906" s="4"/>
      <c r="C906" s="4"/>
      <c r="D906" s="4"/>
      <c r="E906" s="4"/>
      <c r="F906" s="4"/>
    </row>
    <row r="907" spans="1:6" ht="72" customHeight="1" x14ac:dyDescent="0.2">
      <c r="A907" s="4"/>
      <c r="B907" s="4"/>
      <c r="C907" s="4"/>
      <c r="D907" s="4"/>
      <c r="E907" s="4"/>
      <c r="F907" s="4"/>
    </row>
    <row r="908" spans="1:6" ht="72" customHeight="1" x14ac:dyDescent="0.2">
      <c r="A908" s="4"/>
      <c r="B908" s="4"/>
      <c r="C908" s="4"/>
      <c r="D908" s="4"/>
      <c r="E908" s="4"/>
      <c r="F908" s="4"/>
    </row>
    <row r="909" spans="1:6" ht="72" customHeight="1" x14ac:dyDescent="0.2">
      <c r="A909" s="4"/>
      <c r="B909" s="4"/>
      <c r="C909" s="4"/>
      <c r="D909" s="4"/>
      <c r="E909" s="4"/>
      <c r="F909" s="4"/>
    </row>
    <row r="910" spans="1:6" ht="72" customHeight="1" x14ac:dyDescent="0.2">
      <c r="A910" s="4"/>
      <c r="B910" s="4"/>
      <c r="C910" s="4"/>
      <c r="D910" s="4"/>
      <c r="E910" s="4"/>
      <c r="F910" s="4"/>
    </row>
    <row r="911" spans="1:6" ht="72" customHeight="1" x14ac:dyDescent="0.2">
      <c r="A911" s="4"/>
      <c r="B911" s="4"/>
      <c r="C911" s="4"/>
      <c r="D911" s="4"/>
      <c r="E911" s="4"/>
      <c r="F911" s="4"/>
    </row>
    <row r="912" spans="1:6" ht="72" customHeight="1" x14ac:dyDescent="0.2">
      <c r="A912" s="4"/>
      <c r="B912" s="4"/>
      <c r="C912" s="4"/>
      <c r="D912" s="4"/>
      <c r="E912" s="4"/>
      <c r="F912" s="4"/>
    </row>
    <row r="913" spans="1:6" ht="72" customHeight="1" x14ac:dyDescent="0.2">
      <c r="A913" s="4"/>
      <c r="B913" s="4"/>
      <c r="C913" s="4"/>
      <c r="D913" s="4"/>
      <c r="E913" s="4"/>
      <c r="F913" s="4"/>
    </row>
    <row r="914" spans="1:6" ht="72" customHeight="1" x14ac:dyDescent="0.2">
      <c r="A914" s="4"/>
      <c r="B914" s="4"/>
      <c r="C914" s="4"/>
      <c r="D914" s="4"/>
      <c r="E914" s="4"/>
      <c r="F914" s="4"/>
    </row>
    <row r="915" spans="1:6" ht="72" customHeight="1" x14ac:dyDescent="0.2">
      <c r="A915" s="4"/>
      <c r="B915" s="4"/>
      <c r="C915" s="4"/>
      <c r="D915" s="4"/>
      <c r="E915" s="4"/>
      <c r="F915" s="4"/>
    </row>
    <row r="916" spans="1:6" ht="72" customHeight="1" x14ac:dyDescent="0.2">
      <c r="A916" s="4"/>
      <c r="B916" s="4"/>
      <c r="C916" s="4"/>
      <c r="D916" s="4"/>
      <c r="E916" s="4"/>
      <c r="F916" s="4"/>
    </row>
    <row r="917" spans="1:6" ht="72" customHeight="1" x14ac:dyDescent="0.2">
      <c r="A917" s="4"/>
      <c r="B917" s="4"/>
      <c r="C917" s="4"/>
      <c r="D917" s="4"/>
      <c r="E917" s="4"/>
      <c r="F917" s="4"/>
    </row>
    <row r="918" spans="1:6" ht="72" customHeight="1" x14ac:dyDescent="0.2">
      <c r="A918" s="4"/>
      <c r="B918" s="4"/>
      <c r="C918" s="4"/>
      <c r="D918" s="4"/>
      <c r="E918" s="4"/>
      <c r="F918" s="4"/>
    </row>
    <row r="919" spans="1:6" ht="72" customHeight="1" x14ac:dyDescent="0.2">
      <c r="A919" s="4"/>
      <c r="B919" s="4"/>
      <c r="C919" s="4"/>
      <c r="D919" s="4"/>
      <c r="E919" s="4"/>
      <c r="F919" s="4"/>
    </row>
    <row r="920" spans="1:6" ht="72" customHeight="1" x14ac:dyDescent="0.2">
      <c r="A920" s="4"/>
      <c r="B920" s="4"/>
      <c r="C920" s="4"/>
      <c r="D920" s="4"/>
      <c r="E920" s="4"/>
      <c r="F920" s="4"/>
    </row>
    <row r="921" spans="1:6" ht="72" customHeight="1" x14ac:dyDescent="0.2">
      <c r="A921" s="4"/>
      <c r="B921" s="4"/>
      <c r="C921" s="4"/>
      <c r="D921" s="4"/>
      <c r="E921" s="4"/>
      <c r="F921" s="4"/>
    </row>
    <row r="922" spans="1:6" ht="72" customHeight="1" x14ac:dyDescent="0.2">
      <c r="A922" s="4"/>
      <c r="B922" s="4"/>
      <c r="C922" s="4"/>
      <c r="D922" s="4"/>
      <c r="E922" s="4"/>
      <c r="F922" s="4"/>
    </row>
    <row r="923" spans="1:6" ht="72" customHeight="1" x14ac:dyDescent="0.2">
      <c r="A923" s="4"/>
      <c r="B923" s="4"/>
      <c r="C923" s="4"/>
      <c r="D923" s="4"/>
      <c r="E923" s="4"/>
      <c r="F923" s="4"/>
    </row>
    <row r="924" spans="1:6" ht="72" customHeight="1" x14ac:dyDescent="0.2">
      <c r="A924" s="4"/>
      <c r="B924" s="4"/>
      <c r="C924" s="4"/>
      <c r="D924" s="4"/>
      <c r="E924" s="4"/>
      <c r="F924" s="4"/>
    </row>
    <row r="925" spans="1:6" ht="72" customHeight="1" x14ac:dyDescent="0.2">
      <c r="A925" s="4"/>
      <c r="B925" s="4"/>
      <c r="C925" s="4"/>
      <c r="D925" s="4"/>
      <c r="E925" s="4"/>
      <c r="F925" s="4"/>
    </row>
    <row r="926" spans="1:6" ht="72" customHeight="1" x14ac:dyDescent="0.2">
      <c r="A926" s="4"/>
      <c r="B926" s="4"/>
      <c r="C926" s="4"/>
      <c r="D926" s="4"/>
      <c r="E926" s="4"/>
      <c r="F926" s="4"/>
    </row>
    <row r="927" spans="1:6" ht="72" customHeight="1" x14ac:dyDescent="0.2">
      <c r="A927" s="4"/>
      <c r="B927" s="4"/>
      <c r="C927" s="4"/>
      <c r="D927" s="4"/>
      <c r="E927" s="4"/>
      <c r="F927" s="4"/>
    </row>
    <row r="928" spans="1:6" ht="72" customHeight="1" x14ac:dyDescent="0.2">
      <c r="A928" s="4"/>
      <c r="B928" s="4"/>
      <c r="C928" s="4"/>
      <c r="D928" s="4"/>
      <c r="E928" s="4"/>
      <c r="F928" s="4"/>
    </row>
    <row r="929" spans="1:6" ht="72" customHeight="1" x14ac:dyDescent="0.2">
      <c r="A929" s="4"/>
      <c r="B929" s="4"/>
      <c r="C929" s="4"/>
      <c r="D929" s="4"/>
      <c r="E929" s="4"/>
      <c r="F929" s="4"/>
    </row>
    <row r="930" spans="1:6" ht="72" customHeight="1" x14ac:dyDescent="0.2">
      <c r="A930" s="4"/>
      <c r="B930" s="4"/>
      <c r="C930" s="4"/>
      <c r="D930" s="4"/>
      <c r="E930" s="4"/>
      <c r="F930" s="4"/>
    </row>
    <row r="931" spans="1:6" ht="72" customHeight="1" x14ac:dyDescent="0.2">
      <c r="A931" s="4"/>
      <c r="B931" s="4"/>
      <c r="C931" s="4"/>
      <c r="D931" s="4"/>
      <c r="E931" s="4"/>
      <c r="F931" s="4"/>
    </row>
    <row r="932" spans="1:6" ht="72" customHeight="1" x14ac:dyDescent="0.2">
      <c r="A932" s="4"/>
      <c r="B932" s="4"/>
      <c r="C932" s="4"/>
      <c r="D932" s="4"/>
      <c r="E932" s="4"/>
      <c r="F932" s="4"/>
    </row>
    <row r="933" spans="1:6" ht="72" customHeight="1" x14ac:dyDescent="0.2">
      <c r="A933" s="4"/>
      <c r="B933" s="4"/>
      <c r="C933" s="4"/>
      <c r="D933" s="4"/>
      <c r="E933" s="4"/>
      <c r="F933" s="4"/>
    </row>
    <row r="934" spans="1:6" ht="72" customHeight="1" x14ac:dyDescent="0.2">
      <c r="A934" s="4"/>
      <c r="B934" s="4"/>
      <c r="C934" s="4"/>
      <c r="D934" s="4"/>
      <c r="E934" s="4"/>
      <c r="F934" s="4"/>
    </row>
    <row r="935" spans="1:6" ht="72" customHeight="1" x14ac:dyDescent="0.2">
      <c r="A935" s="4"/>
      <c r="B935" s="4"/>
      <c r="C935" s="4"/>
      <c r="D935" s="4"/>
      <c r="E935" s="4"/>
      <c r="F935" s="4"/>
    </row>
    <row r="936" spans="1:6" ht="72" customHeight="1" x14ac:dyDescent="0.2">
      <c r="A936" s="4"/>
      <c r="B936" s="4"/>
      <c r="C936" s="4"/>
      <c r="D936" s="4"/>
      <c r="E936" s="4"/>
      <c r="F936" s="4"/>
    </row>
    <row r="937" spans="1:6" ht="72" customHeight="1" x14ac:dyDescent="0.2">
      <c r="A937" s="4"/>
      <c r="B937" s="4"/>
      <c r="C937" s="4"/>
      <c r="D937" s="4"/>
      <c r="E937" s="4"/>
      <c r="F937" s="4"/>
    </row>
    <row r="938" spans="1:6" ht="72" customHeight="1" x14ac:dyDescent="0.2">
      <c r="A938" s="4"/>
      <c r="B938" s="4"/>
      <c r="C938" s="4"/>
      <c r="D938" s="4"/>
      <c r="E938" s="4"/>
      <c r="F938" s="4"/>
    </row>
    <row r="939" spans="1:6" ht="72" customHeight="1" x14ac:dyDescent="0.2">
      <c r="A939" s="4"/>
      <c r="B939" s="4"/>
      <c r="C939" s="4"/>
      <c r="D939" s="4"/>
      <c r="E939" s="4"/>
      <c r="F939" s="4"/>
    </row>
    <row r="940" spans="1:6" ht="72" customHeight="1" x14ac:dyDescent="0.2">
      <c r="A940" s="4"/>
      <c r="B940" s="4"/>
      <c r="C940" s="4"/>
      <c r="D940" s="4"/>
      <c r="E940" s="4"/>
      <c r="F940" s="4"/>
    </row>
    <row r="941" spans="1:6" ht="72" customHeight="1" x14ac:dyDescent="0.2">
      <c r="A941" s="4"/>
      <c r="B941" s="4"/>
      <c r="C941" s="4"/>
      <c r="D941" s="4"/>
      <c r="E941" s="4"/>
      <c r="F941" s="4"/>
    </row>
    <row r="942" spans="1:6" ht="72" customHeight="1" x14ac:dyDescent="0.2">
      <c r="A942" s="4"/>
      <c r="B942" s="4"/>
      <c r="C942" s="4"/>
      <c r="D942" s="4"/>
      <c r="E942" s="4"/>
      <c r="F942" s="4"/>
    </row>
    <row r="943" spans="1:6" ht="72" customHeight="1" x14ac:dyDescent="0.2">
      <c r="A943" s="4"/>
      <c r="B943" s="4"/>
      <c r="C943" s="4"/>
      <c r="D943" s="4"/>
      <c r="E943" s="4"/>
      <c r="F943" s="4"/>
    </row>
    <row r="944" spans="1:6" ht="72" customHeight="1" x14ac:dyDescent="0.2">
      <c r="A944" s="4"/>
      <c r="B944" s="4"/>
      <c r="C944" s="4"/>
      <c r="D944" s="4"/>
      <c r="E944" s="4"/>
      <c r="F944" s="4"/>
    </row>
    <row r="945" spans="1:6" ht="72" customHeight="1" x14ac:dyDescent="0.2">
      <c r="A945" s="4"/>
      <c r="B945" s="4"/>
      <c r="C945" s="4"/>
      <c r="D945" s="4"/>
      <c r="E945" s="4"/>
      <c r="F945" s="4"/>
    </row>
    <row r="946" spans="1:6" ht="72" customHeight="1" x14ac:dyDescent="0.2">
      <c r="A946" s="4"/>
      <c r="B946" s="4"/>
      <c r="C946" s="4"/>
      <c r="D946" s="4"/>
      <c r="E946" s="4"/>
      <c r="F946" s="4"/>
    </row>
    <row r="947" spans="1:6" ht="72" customHeight="1" x14ac:dyDescent="0.2">
      <c r="A947" s="4"/>
      <c r="B947" s="4"/>
      <c r="C947" s="4"/>
      <c r="D947" s="4"/>
      <c r="E947" s="4"/>
      <c r="F947" s="4"/>
    </row>
    <row r="948" spans="1:6" ht="72" customHeight="1" x14ac:dyDescent="0.2">
      <c r="A948" s="4"/>
      <c r="B948" s="4"/>
      <c r="C948" s="4"/>
      <c r="D948" s="4"/>
      <c r="E948" s="4"/>
      <c r="F948" s="4"/>
    </row>
    <row r="949" spans="1:6" ht="72" customHeight="1" x14ac:dyDescent="0.2">
      <c r="A949" s="4"/>
      <c r="B949" s="4"/>
      <c r="C949" s="4"/>
      <c r="D949" s="4"/>
      <c r="E949" s="4"/>
      <c r="F949" s="4"/>
    </row>
    <row r="950" spans="1:6" ht="72" customHeight="1" x14ac:dyDescent="0.2">
      <c r="A950" s="4"/>
      <c r="B950" s="4"/>
      <c r="C950" s="4"/>
      <c r="D950" s="4"/>
      <c r="E950" s="4"/>
      <c r="F950" s="4"/>
    </row>
    <row r="951" spans="1:6" ht="72" customHeight="1" x14ac:dyDescent="0.2">
      <c r="A951" s="4"/>
      <c r="B951" s="4"/>
      <c r="C951" s="4"/>
      <c r="D951" s="4"/>
      <c r="E951" s="4"/>
      <c r="F951" s="4"/>
    </row>
    <row r="952" spans="1:6" ht="72" customHeight="1" x14ac:dyDescent="0.2">
      <c r="A952" s="4"/>
      <c r="B952" s="4"/>
      <c r="C952" s="4"/>
      <c r="D952" s="4"/>
      <c r="E952" s="4"/>
      <c r="F952" s="4"/>
    </row>
    <row r="953" spans="1:6" ht="72" customHeight="1" x14ac:dyDescent="0.2">
      <c r="A953" s="4"/>
      <c r="B953" s="4"/>
      <c r="C953" s="4"/>
      <c r="D953" s="4"/>
      <c r="E953" s="4"/>
      <c r="F953" s="4"/>
    </row>
    <row r="954" spans="1:6" ht="72" customHeight="1" x14ac:dyDescent="0.2">
      <c r="A954" s="4"/>
      <c r="B954" s="4"/>
      <c r="C954" s="4"/>
      <c r="D954" s="4"/>
      <c r="E954" s="4"/>
      <c r="F954" s="4"/>
    </row>
    <row r="955" spans="1:6" ht="72" customHeight="1" x14ac:dyDescent="0.2">
      <c r="A955" s="4"/>
      <c r="B955" s="4"/>
      <c r="C955" s="4"/>
      <c r="D955" s="4"/>
      <c r="E955" s="4"/>
      <c r="F955" s="4"/>
    </row>
    <row r="956" spans="1:6" ht="72" customHeight="1" x14ac:dyDescent="0.2">
      <c r="A956" s="4"/>
      <c r="B956" s="4"/>
      <c r="C956" s="4"/>
      <c r="D956" s="4"/>
      <c r="E956" s="4"/>
      <c r="F956" s="4"/>
    </row>
    <row r="957" spans="1:6" ht="72" customHeight="1" x14ac:dyDescent="0.2">
      <c r="A957" s="4"/>
      <c r="B957" s="4"/>
      <c r="C957" s="4"/>
      <c r="D957" s="4"/>
      <c r="E957" s="4"/>
      <c r="F957" s="4"/>
    </row>
    <row r="958" spans="1:6" ht="72" customHeight="1" x14ac:dyDescent="0.2">
      <c r="A958" s="4"/>
      <c r="B958" s="4"/>
      <c r="C958" s="4"/>
      <c r="D958" s="4"/>
      <c r="E958" s="4"/>
      <c r="F958" s="4"/>
    </row>
    <row r="959" spans="1:6" ht="72" customHeight="1" x14ac:dyDescent="0.2">
      <c r="A959" s="4"/>
      <c r="B959" s="4"/>
      <c r="C959" s="4"/>
      <c r="D959" s="4"/>
      <c r="E959" s="4"/>
      <c r="F959" s="4"/>
    </row>
    <row r="960" spans="1:6" ht="72" customHeight="1" x14ac:dyDescent="0.2">
      <c r="A960" s="4"/>
      <c r="B960" s="4"/>
      <c r="C960" s="4"/>
      <c r="D960" s="4"/>
      <c r="E960" s="4"/>
      <c r="F960" s="4"/>
    </row>
    <row r="961" spans="1:6" ht="72" customHeight="1" x14ac:dyDescent="0.2">
      <c r="A961" s="4"/>
      <c r="B961" s="4"/>
      <c r="C961" s="4"/>
      <c r="D961" s="4"/>
      <c r="E961" s="4"/>
      <c r="F961" s="4"/>
    </row>
    <row r="962" spans="1:6" ht="72" customHeight="1" x14ac:dyDescent="0.2">
      <c r="A962" s="4"/>
      <c r="B962" s="4"/>
      <c r="C962" s="4"/>
      <c r="D962" s="4"/>
      <c r="E962" s="4"/>
      <c r="F962" s="4"/>
    </row>
    <row r="963" spans="1:6" ht="72" customHeight="1" x14ac:dyDescent="0.2">
      <c r="A963" s="4"/>
      <c r="B963" s="4"/>
      <c r="C963" s="4"/>
      <c r="D963" s="4"/>
      <c r="E963" s="4"/>
      <c r="F963" s="4"/>
    </row>
    <row r="964" spans="1:6" ht="72" customHeight="1" x14ac:dyDescent="0.2">
      <c r="A964" s="4"/>
      <c r="B964" s="4"/>
      <c r="C964" s="4"/>
      <c r="D964" s="4"/>
      <c r="E964" s="4"/>
      <c r="F964" s="4"/>
    </row>
    <row r="965" spans="1:6" ht="72" customHeight="1" x14ac:dyDescent="0.2">
      <c r="A965" s="4"/>
      <c r="B965" s="4"/>
      <c r="C965" s="4"/>
      <c r="D965" s="4"/>
      <c r="E965" s="4"/>
      <c r="F965" s="4"/>
    </row>
    <row r="966" spans="1:6" ht="72" customHeight="1" x14ac:dyDescent="0.2">
      <c r="A966" s="4"/>
      <c r="B966" s="4"/>
      <c r="C966" s="4"/>
      <c r="D966" s="4"/>
      <c r="E966" s="4"/>
      <c r="F966" s="4"/>
    </row>
    <row r="967" spans="1:6" ht="72" customHeight="1" x14ac:dyDescent="0.2">
      <c r="A967" s="4"/>
      <c r="B967" s="4"/>
      <c r="C967" s="4"/>
      <c r="D967" s="4"/>
      <c r="E967" s="4"/>
      <c r="F967" s="4"/>
    </row>
    <row r="968" spans="1:6" ht="72" customHeight="1" x14ac:dyDescent="0.2">
      <c r="A968" s="4"/>
      <c r="B968" s="4"/>
      <c r="C968" s="4"/>
      <c r="D968" s="4"/>
      <c r="E968" s="4"/>
      <c r="F968" s="4"/>
    </row>
    <row r="969" spans="1:6" ht="72" customHeight="1" x14ac:dyDescent="0.2">
      <c r="A969" s="4"/>
      <c r="B969" s="4"/>
      <c r="C969" s="4"/>
      <c r="D969" s="4"/>
      <c r="E969" s="4"/>
      <c r="F969" s="4"/>
    </row>
    <row r="970" spans="1:6" ht="72" customHeight="1" x14ac:dyDescent="0.2">
      <c r="A970" s="4"/>
      <c r="B970" s="4"/>
      <c r="C970" s="4"/>
      <c r="D970" s="4"/>
      <c r="E970" s="4"/>
      <c r="F970" s="4"/>
    </row>
    <row r="971" spans="1:6" ht="72" customHeight="1" x14ac:dyDescent="0.2">
      <c r="A971" s="4"/>
      <c r="B971" s="4"/>
      <c r="C971" s="4"/>
      <c r="D971" s="4"/>
      <c r="E971" s="4"/>
      <c r="F971" s="4"/>
    </row>
    <row r="972" spans="1:6" ht="72" customHeight="1" x14ac:dyDescent="0.2">
      <c r="A972" s="4"/>
      <c r="B972" s="4"/>
      <c r="C972" s="4"/>
      <c r="D972" s="4"/>
      <c r="E972" s="4"/>
      <c r="F972" s="4"/>
    </row>
    <row r="973" spans="1:6" ht="72" customHeight="1" x14ac:dyDescent="0.2">
      <c r="A973" s="4"/>
      <c r="B973" s="4"/>
      <c r="C973" s="4"/>
      <c r="D973" s="4"/>
      <c r="E973" s="4"/>
      <c r="F973" s="4"/>
    </row>
    <row r="974" spans="1:6" ht="72" customHeight="1" x14ac:dyDescent="0.2">
      <c r="A974" s="4"/>
      <c r="B974" s="4"/>
      <c r="C974" s="4"/>
      <c r="D974" s="4"/>
      <c r="E974" s="4"/>
      <c r="F974" s="4"/>
    </row>
    <row r="975" spans="1:6" ht="72" customHeight="1" x14ac:dyDescent="0.2">
      <c r="A975" s="4"/>
      <c r="B975" s="4"/>
      <c r="C975" s="4"/>
      <c r="D975" s="4"/>
      <c r="E975" s="4"/>
      <c r="F975" s="4"/>
    </row>
    <row r="976" spans="1:6" ht="72" customHeight="1" x14ac:dyDescent="0.2">
      <c r="A976" s="4"/>
      <c r="B976" s="4"/>
      <c r="C976" s="4"/>
      <c r="D976" s="4"/>
      <c r="E976" s="4"/>
      <c r="F976" s="4"/>
    </row>
    <row r="977" spans="1:6" ht="72" customHeight="1" x14ac:dyDescent="0.2">
      <c r="A977" s="4"/>
      <c r="B977" s="4"/>
      <c r="C977" s="4"/>
      <c r="D977" s="4"/>
      <c r="E977" s="4"/>
      <c r="F977" s="4"/>
    </row>
    <row r="978" spans="1:6" ht="72" customHeight="1" x14ac:dyDescent="0.2">
      <c r="A978" s="4"/>
      <c r="B978" s="4"/>
      <c r="C978" s="4"/>
      <c r="D978" s="4"/>
      <c r="E978" s="4"/>
      <c r="F978" s="4"/>
    </row>
    <row r="979" spans="1:6" ht="72" customHeight="1" x14ac:dyDescent="0.2">
      <c r="A979" s="4"/>
      <c r="B979" s="4"/>
      <c r="C979" s="4"/>
      <c r="D979" s="4"/>
      <c r="E979" s="4"/>
      <c r="F979" s="4"/>
    </row>
    <row r="980" spans="1:6" ht="72" customHeight="1" x14ac:dyDescent="0.2">
      <c r="A980" s="4"/>
      <c r="B980" s="4"/>
      <c r="C980" s="4"/>
      <c r="D980" s="4"/>
      <c r="E980" s="4"/>
      <c r="F980" s="4"/>
    </row>
    <row r="981" spans="1:6" ht="72" customHeight="1" x14ac:dyDescent="0.2">
      <c r="A981" s="4"/>
      <c r="B981" s="4"/>
      <c r="C981" s="4"/>
      <c r="D981" s="4"/>
      <c r="E981" s="4"/>
      <c r="F981" s="4"/>
    </row>
    <row r="982" spans="1:6" ht="72" customHeight="1" x14ac:dyDescent="0.2">
      <c r="A982" s="4"/>
      <c r="B982" s="4"/>
      <c r="C982" s="4"/>
      <c r="D982" s="4"/>
      <c r="E982" s="4"/>
      <c r="F982" s="4"/>
    </row>
    <row r="983" spans="1:6" ht="72" customHeight="1" x14ac:dyDescent="0.2">
      <c r="A983" s="4"/>
      <c r="B983" s="4"/>
      <c r="C983" s="4"/>
      <c r="D983" s="4"/>
      <c r="E983" s="4"/>
      <c r="F983" s="4"/>
    </row>
    <row r="984" spans="1:6" ht="72" customHeight="1" x14ac:dyDescent="0.2">
      <c r="A984" s="4"/>
      <c r="B984" s="4"/>
      <c r="C984" s="4"/>
      <c r="D984" s="4"/>
      <c r="E984" s="4"/>
      <c r="F984" s="4"/>
    </row>
    <row r="985" spans="1:6" ht="72" customHeight="1" x14ac:dyDescent="0.2">
      <c r="A985" s="4"/>
      <c r="B985" s="4"/>
      <c r="C985" s="4"/>
      <c r="D985" s="4"/>
      <c r="E985" s="4"/>
      <c r="F985" s="4"/>
    </row>
    <row r="986" spans="1:6" ht="72" customHeight="1" x14ac:dyDescent="0.2">
      <c r="A986" s="4"/>
      <c r="B986" s="4"/>
      <c r="C986" s="4"/>
      <c r="D986" s="4"/>
      <c r="E986" s="4"/>
      <c r="F986" s="4"/>
    </row>
    <row r="987" spans="1:6" ht="72" customHeight="1" x14ac:dyDescent="0.2">
      <c r="A987" s="4"/>
      <c r="B987" s="4"/>
      <c r="C987" s="4"/>
      <c r="D987" s="4"/>
      <c r="E987" s="4"/>
      <c r="F987" s="4"/>
    </row>
    <row r="988" spans="1:6" ht="72" customHeight="1" x14ac:dyDescent="0.2">
      <c r="A988" s="4"/>
      <c r="B988" s="4"/>
      <c r="C988" s="4"/>
      <c r="D988" s="4"/>
      <c r="E988" s="4"/>
      <c r="F988" s="4"/>
    </row>
    <row r="989" spans="1:6" ht="72" customHeight="1" x14ac:dyDescent="0.2">
      <c r="A989" s="4"/>
      <c r="B989" s="4"/>
      <c r="C989" s="4"/>
      <c r="D989" s="4"/>
      <c r="E989" s="4"/>
      <c r="F989" s="4"/>
    </row>
    <row r="990" spans="1:6" ht="72" customHeight="1" x14ac:dyDescent="0.2">
      <c r="A990" s="4"/>
      <c r="B990" s="4"/>
      <c r="C990" s="4"/>
      <c r="D990" s="4"/>
      <c r="E990" s="4"/>
      <c r="F990" s="4"/>
    </row>
    <row r="991" spans="1:6" ht="72" customHeight="1" x14ac:dyDescent="0.2">
      <c r="A991" s="4"/>
      <c r="B991" s="4"/>
      <c r="C991" s="4"/>
      <c r="D991" s="4"/>
      <c r="E991" s="4"/>
      <c r="F991" s="4"/>
    </row>
    <row r="992" spans="1:6" ht="72" customHeight="1" x14ac:dyDescent="0.2">
      <c r="A992" s="4"/>
      <c r="B992" s="4"/>
      <c r="C992" s="4"/>
      <c r="D992" s="4"/>
      <c r="E992" s="4"/>
      <c r="F992" s="4"/>
    </row>
    <row r="993" spans="1:6" ht="72" customHeight="1" x14ac:dyDescent="0.2">
      <c r="A993" s="4"/>
      <c r="B993" s="4"/>
      <c r="C993" s="4"/>
      <c r="D993" s="4"/>
      <c r="E993" s="4"/>
      <c r="F993" s="4"/>
    </row>
    <row r="994" spans="1:6" ht="72" customHeight="1" x14ac:dyDescent="0.2">
      <c r="A994" s="4"/>
      <c r="B994" s="4"/>
      <c r="C994" s="4"/>
      <c r="D994" s="4"/>
      <c r="E994" s="4"/>
      <c r="F994" s="4"/>
    </row>
    <row r="995" spans="1:6" ht="72" customHeight="1" x14ac:dyDescent="0.2">
      <c r="A995" s="4"/>
      <c r="B995" s="4"/>
      <c r="C995" s="4"/>
      <c r="D995" s="4"/>
      <c r="E995" s="4"/>
      <c r="F995" s="4"/>
    </row>
    <row r="996" spans="1:6" ht="72" customHeight="1" x14ac:dyDescent="0.2">
      <c r="A996" s="4"/>
      <c r="B996" s="4"/>
      <c r="C996" s="4"/>
      <c r="D996" s="4"/>
      <c r="E996" s="4"/>
      <c r="F996" s="4"/>
    </row>
    <row r="997" spans="1:6" ht="72" customHeight="1" x14ac:dyDescent="0.2">
      <c r="A997" s="4"/>
      <c r="B997" s="4"/>
      <c r="C997" s="4"/>
      <c r="D997" s="4"/>
      <c r="E997" s="4"/>
      <c r="F997" s="4"/>
    </row>
    <row r="998" spans="1:6" ht="72" customHeight="1" x14ac:dyDescent="0.2">
      <c r="A998" s="4"/>
      <c r="B998" s="4"/>
      <c r="C998" s="4"/>
      <c r="D998" s="4"/>
      <c r="E998" s="4"/>
      <c r="F998" s="4"/>
    </row>
    <row r="999" spans="1:6" ht="72" customHeight="1" x14ac:dyDescent="0.2">
      <c r="A999" s="4"/>
      <c r="B999" s="4"/>
      <c r="C999" s="4"/>
      <c r="D999" s="4"/>
      <c r="E999" s="4"/>
      <c r="F999" s="4"/>
    </row>
    <row r="1000" spans="1:6" ht="72" customHeight="1" x14ac:dyDescent="0.2">
      <c r="A1000" s="4"/>
      <c r="B1000" s="4"/>
      <c r="C1000" s="4"/>
      <c r="D1000" s="4"/>
      <c r="E1000" s="4"/>
      <c r="F1000" s="4"/>
    </row>
    <row r="1001" spans="1:6" ht="72" customHeight="1" x14ac:dyDescent="0.2">
      <c r="A1001" s="4"/>
      <c r="B1001" s="4"/>
      <c r="C1001" s="4"/>
      <c r="D1001" s="4"/>
      <c r="E1001" s="4"/>
      <c r="F1001" s="4"/>
    </row>
    <row r="1002" spans="1:6" ht="72" customHeight="1" x14ac:dyDescent="0.2">
      <c r="A1002" s="4"/>
      <c r="B1002" s="4"/>
      <c r="C1002" s="4"/>
      <c r="D1002" s="4"/>
      <c r="E1002" s="4"/>
      <c r="F1002" s="4"/>
    </row>
    <row r="1003" spans="1:6" ht="72" customHeight="1" x14ac:dyDescent="0.2">
      <c r="A1003" s="4"/>
      <c r="B1003" s="4"/>
      <c r="C1003" s="4"/>
      <c r="D1003" s="4"/>
      <c r="E1003" s="4"/>
      <c r="F1003" s="4"/>
    </row>
    <row r="1004" spans="1:6" ht="72" customHeight="1" x14ac:dyDescent="0.2">
      <c r="A1004" s="4"/>
      <c r="B1004" s="4"/>
      <c r="C1004" s="4"/>
      <c r="D1004" s="4"/>
      <c r="E1004" s="4"/>
      <c r="F1004" s="4"/>
    </row>
    <row r="1005" spans="1:6" ht="72" customHeight="1" x14ac:dyDescent="0.2">
      <c r="A1005" s="4"/>
      <c r="B1005" s="4"/>
      <c r="C1005" s="4"/>
      <c r="D1005" s="4"/>
      <c r="E1005" s="4"/>
      <c r="F1005" s="4"/>
    </row>
    <row r="1006" spans="1:6" ht="72" customHeight="1" x14ac:dyDescent="0.2">
      <c r="A1006" s="4"/>
      <c r="B1006" s="4"/>
      <c r="C1006" s="4"/>
      <c r="D1006" s="4"/>
      <c r="E1006" s="4"/>
      <c r="F1006" s="4"/>
    </row>
    <row r="1007" spans="1:6" ht="72" customHeight="1" x14ac:dyDescent="0.2">
      <c r="A1007" s="4"/>
      <c r="B1007" s="4"/>
      <c r="C1007" s="4"/>
      <c r="D1007" s="4"/>
      <c r="E1007" s="4"/>
      <c r="F1007" s="4"/>
    </row>
    <row r="1008" spans="1:6" ht="72" customHeight="1" x14ac:dyDescent="0.2">
      <c r="A1008" s="4"/>
      <c r="B1008" s="4"/>
      <c r="C1008" s="4"/>
      <c r="D1008" s="4"/>
      <c r="E1008" s="4"/>
      <c r="F1008" s="4"/>
    </row>
    <row r="1009" spans="1:6" ht="72" customHeight="1" x14ac:dyDescent="0.2">
      <c r="A1009" s="4"/>
      <c r="B1009" s="4"/>
      <c r="C1009" s="4"/>
      <c r="D1009" s="4"/>
      <c r="E1009" s="4"/>
      <c r="F1009" s="4"/>
    </row>
    <row r="1010" spans="1:6" ht="72" customHeight="1" x14ac:dyDescent="0.2">
      <c r="A1010" s="4"/>
      <c r="B1010" s="4"/>
      <c r="C1010" s="4"/>
      <c r="D1010" s="4"/>
      <c r="E1010" s="4"/>
      <c r="F1010" s="4"/>
    </row>
    <row r="1011" spans="1:6" ht="72" customHeight="1" x14ac:dyDescent="0.2">
      <c r="A1011" s="4"/>
      <c r="B1011" s="4"/>
      <c r="C1011" s="4"/>
      <c r="D1011" s="4"/>
      <c r="E1011" s="4"/>
      <c r="F1011" s="4"/>
    </row>
    <row r="1012" spans="1:6" ht="72" customHeight="1" x14ac:dyDescent="0.2">
      <c r="A1012" s="4"/>
      <c r="B1012" s="4"/>
      <c r="C1012" s="4"/>
      <c r="D1012" s="4"/>
      <c r="E1012" s="4"/>
      <c r="F1012" s="4"/>
    </row>
    <row r="1013" spans="1:6" ht="72" customHeight="1" x14ac:dyDescent="0.2">
      <c r="A1013" s="4"/>
      <c r="B1013" s="4"/>
      <c r="C1013" s="4"/>
      <c r="D1013" s="4"/>
      <c r="E1013" s="4"/>
      <c r="F1013" s="4"/>
    </row>
    <row r="1014" spans="1:6" ht="72" customHeight="1" x14ac:dyDescent="0.2">
      <c r="A1014" s="4"/>
      <c r="B1014" s="4"/>
      <c r="C1014" s="4"/>
      <c r="D1014" s="4"/>
      <c r="E1014" s="4"/>
      <c r="F1014" s="4"/>
    </row>
    <row r="1015" spans="1:6" ht="72" customHeight="1" x14ac:dyDescent="0.2">
      <c r="A1015" s="4"/>
      <c r="B1015" s="4"/>
      <c r="C1015" s="4"/>
      <c r="D1015" s="4"/>
      <c r="E1015" s="4"/>
      <c r="F1015" s="4"/>
    </row>
    <row r="1016" spans="1:6" ht="72" customHeight="1" x14ac:dyDescent="0.2">
      <c r="A1016" s="4"/>
      <c r="B1016" s="4"/>
      <c r="C1016" s="4"/>
      <c r="D1016" s="4"/>
      <c r="E1016" s="4"/>
      <c r="F1016" s="4"/>
    </row>
    <row r="1017" spans="1:6" ht="72" customHeight="1" x14ac:dyDescent="0.2">
      <c r="A1017" s="4"/>
      <c r="B1017" s="4"/>
      <c r="C1017" s="4"/>
      <c r="D1017" s="4"/>
      <c r="E1017" s="4"/>
      <c r="F1017" s="4"/>
    </row>
    <row r="1018" spans="1:6" ht="72" customHeight="1" x14ac:dyDescent="0.2">
      <c r="A1018" s="4"/>
      <c r="B1018" s="4"/>
      <c r="C1018" s="4"/>
      <c r="D1018" s="4"/>
      <c r="E1018" s="4"/>
      <c r="F1018" s="4"/>
    </row>
    <row r="1019" spans="1:6" ht="72" customHeight="1" x14ac:dyDescent="0.2">
      <c r="A1019" s="4"/>
      <c r="B1019" s="4"/>
      <c r="C1019" s="4"/>
      <c r="D1019" s="4"/>
      <c r="E1019" s="4"/>
      <c r="F1019" s="4"/>
    </row>
    <row r="1020" spans="1:6" ht="72" customHeight="1" x14ac:dyDescent="0.2">
      <c r="A1020" s="4"/>
      <c r="B1020" s="4"/>
      <c r="C1020" s="4"/>
      <c r="D1020" s="4"/>
      <c r="E1020" s="4"/>
      <c r="F1020" s="4"/>
    </row>
    <row r="1021" spans="1:6" ht="72" customHeight="1" x14ac:dyDescent="0.2">
      <c r="A1021" s="4"/>
      <c r="B1021" s="4"/>
      <c r="C1021" s="4"/>
      <c r="D1021" s="4"/>
      <c r="E1021" s="4"/>
      <c r="F1021" s="4"/>
    </row>
    <row r="1022" spans="1:6" ht="72" customHeight="1" x14ac:dyDescent="0.2">
      <c r="A1022" s="4"/>
      <c r="B1022" s="4"/>
      <c r="C1022" s="4"/>
      <c r="D1022" s="4"/>
      <c r="E1022" s="4"/>
      <c r="F1022" s="4"/>
    </row>
    <row r="1023" spans="1:6" ht="72" customHeight="1" x14ac:dyDescent="0.2">
      <c r="A1023" s="4"/>
      <c r="B1023" s="4"/>
      <c r="C1023" s="4"/>
      <c r="D1023" s="4"/>
      <c r="E1023" s="4"/>
      <c r="F1023" s="4"/>
    </row>
    <row r="1024" spans="1:6" ht="72" customHeight="1" x14ac:dyDescent="0.2">
      <c r="A1024" s="4"/>
      <c r="B1024" s="4"/>
      <c r="C1024" s="4"/>
      <c r="D1024" s="4"/>
      <c r="E1024" s="4"/>
      <c r="F1024" s="4"/>
    </row>
    <row r="1025" spans="1:6" ht="72" customHeight="1" x14ac:dyDescent="0.2">
      <c r="A1025" s="4"/>
      <c r="B1025" s="4"/>
      <c r="C1025" s="4"/>
      <c r="D1025" s="4"/>
      <c r="E1025" s="4"/>
      <c r="F1025" s="4"/>
    </row>
    <row r="1026" spans="1:6" ht="72" customHeight="1" x14ac:dyDescent="0.2">
      <c r="A1026" s="4"/>
      <c r="B1026" s="4"/>
      <c r="C1026" s="4"/>
      <c r="D1026" s="4"/>
      <c r="E1026" s="4"/>
      <c r="F1026" s="4"/>
    </row>
    <row r="1027" spans="1:6" ht="72" customHeight="1" x14ac:dyDescent="0.2">
      <c r="A1027" s="4"/>
      <c r="B1027" s="4"/>
      <c r="C1027" s="4"/>
      <c r="D1027" s="4"/>
      <c r="E1027" s="4"/>
      <c r="F1027" s="4"/>
    </row>
    <row r="1028" spans="1:6" ht="72" customHeight="1" x14ac:dyDescent="0.2">
      <c r="A1028" s="4"/>
      <c r="B1028" s="4"/>
      <c r="C1028" s="4"/>
      <c r="D1028" s="4"/>
      <c r="E1028" s="4"/>
      <c r="F1028" s="4"/>
    </row>
    <row r="1029" spans="1:6" ht="72" customHeight="1" x14ac:dyDescent="0.2">
      <c r="A1029" s="4"/>
      <c r="B1029" s="4"/>
      <c r="C1029" s="4"/>
      <c r="D1029" s="4"/>
      <c r="E1029" s="4"/>
      <c r="F1029" s="4"/>
    </row>
    <row r="1030" spans="1:6" ht="72" customHeight="1" x14ac:dyDescent="0.2">
      <c r="A1030" s="4"/>
      <c r="B1030" s="4"/>
      <c r="C1030" s="4"/>
      <c r="D1030" s="4"/>
      <c r="E1030" s="4"/>
      <c r="F1030" s="4"/>
    </row>
    <row r="1031" spans="1:6" ht="72" customHeight="1" x14ac:dyDescent="0.2">
      <c r="A1031" s="4"/>
      <c r="B1031" s="4"/>
      <c r="C1031" s="4"/>
      <c r="D1031" s="4"/>
      <c r="E1031" s="4"/>
      <c r="F1031" s="4"/>
    </row>
    <row r="1032" spans="1:6" ht="72" customHeight="1" x14ac:dyDescent="0.2">
      <c r="A1032" s="4"/>
      <c r="B1032" s="4"/>
      <c r="C1032" s="4"/>
      <c r="D1032" s="4"/>
      <c r="E1032" s="4"/>
      <c r="F1032" s="4"/>
    </row>
    <row r="1033" spans="1:6" ht="72" customHeight="1" x14ac:dyDescent="0.2">
      <c r="A1033" s="4"/>
      <c r="B1033" s="4"/>
      <c r="C1033" s="4"/>
      <c r="D1033" s="4"/>
      <c r="E1033" s="4"/>
      <c r="F1033" s="4"/>
    </row>
    <row r="1034" spans="1:6" ht="72" customHeight="1" x14ac:dyDescent="0.2">
      <c r="A1034" s="4"/>
      <c r="B1034" s="4"/>
      <c r="C1034" s="4"/>
      <c r="D1034" s="4"/>
      <c r="E1034" s="4"/>
      <c r="F1034" s="4"/>
    </row>
    <row r="1035" spans="1:6" ht="72" customHeight="1" x14ac:dyDescent="0.2">
      <c r="A1035" s="4"/>
      <c r="B1035" s="4"/>
      <c r="C1035" s="4"/>
      <c r="D1035" s="4"/>
      <c r="E1035" s="4"/>
      <c r="F1035" s="4"/>
    </row>
    <row r="1036" spans="1:6" ht="72" customHeight="1" x14ac:dyDescent="0.2">
      <c r="A1036" s="4"/>
      <c r="B1036" s="4"/>
      <c r="C1036" s="4"/>
      <c r="D1036" s="4"/>
      <c r="E1036" s="4"/>
      <c r="F1036" s="4"/>
    </row>
    <row r="1037" spans="1:6" ht="72" customHeight="1" x14ac:dyDescent="0.2">
      <c r="A1037" s="4"/>
      <c r="B1037" s="4"/>
      <c r="C1037" s="4"/>
      <c r="D1037" s="4"/>
      <c r="E1037" s="4"/>
      <c r="F103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Магазин 15 - Прайс-лист</vt:lpstr>
      <vt:lpstr>Магазин 15 - Переходы</vt:lpstr>
      <vt:lpstr>Магазин 15 - Продления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2022-01-12T14:54:49Z</dcterms:modified>
</cp:coreProperties>
</file>